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RANK\OneDrive\Frank Shipbrokers LTDA_arquivos\Listagens pe\"/>
    </mc:Choice>
  </mc:AlternateContent>
  <xr:revisionPtr revIDLastSave="0" documentId="8_{5152204E-A911-4248-964F-D30DC39606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nkers for Sale" sheetId="1" r:id="rId1"/>
  </sheets>
  <calcPr calcId="181029"/>
  <extLst>
    <ext uri="GoogleSheetsCustomDataVersion2">
      <go:sheetsCustomData xmlns:go="http://customooxmlschemas.google.com/" r:id="rId6" roundtripDataChecksum="WF7DX2DYdB3pc8Q1EPUE5UqdfesAAItR+PKR1laYzNs="/>
    </ext>
  </extLst>
</workbook>
</file>

<file path=xl/calcChain.xml><?xml version="1.0" encoding="utf-8"?>
<calcChain xmlns="http://schemas.openxmlformats.org/spreadsheetml/2006/main">
  <c r="O520" i="1" l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O468" i="1"/>
  <c r="N468" i="1"/>
  <c r="M468" i="1"/>
  <c r="L468" i="1"/>
  <c r="J468" i="1"/>
  <c r="I468" i="1"/>
  <c r="H468" i="1"/>
  <c r="G468" i="1"/>
  <c r="F468" i="1"/>
  <c r="E468" i="1"/>
  <c r="D468" i="1"/>
  <c r="C468" i="1"/>
  <c r="B468" i="1"/>
  <c r="A468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O465" i="1"/>
  <c r="N465" i="1"/>
  <c r="M465" i="1"/>
  <c r="L465" i="1"/>
  <c r="J465" i="1"/>
  <c r="I465" i="1"/>
  <c r="H465" i="1"/>
  <c r="G465" i="1"/>
  <c r="F465" i="1"/>
  <c r="E465" i="1"/>
  <c r="D465" i="1"/>
  <c r="C465" i="1"/>
  <c r="B465" i="1"/>
  <c r="A465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O447" i="1"/>
  <c r="N447" i="1"/>
  <c r="M447" i="1"/>
  <c r="L447" i="1"/>
  <c r="K447" i="1"/>
  <c r="J447" i="1"/>
  <c r="I447" i="1"/>
  <c r="H447" i="1"/>
  <c r="G447" i="1"/>
  <c r="E447" i="1"/>
  <c r="D447" i="1"/>
  <c r="C447" i="1"/>
  <c r="B447" i="1"/>
  <c r="A447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O442" i="1"/>
  <c r="N442" i="1"/>
  <c r="M442" i="1"/>
  <c r="L442" i="1"/>
  <c r="K442" i="1"/>
  <c r="J442" i="1"/>
  <c r="I442" i="1"/>
  <c r="H442" i="1"/>
  <c r="G442" i="1"/>
  <c r="E442" i="1"/>
  <c r="D442" i="1"/>
  <c r="C442" i="1"/>
  <c r="B442" i="1"/>
  <c r="A442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O437" i="1"/>
  <c r="N437" i="1"/>
  <c r="M437" i="1"/>
  <c r="L437" i="1"/>
  <c r="K437" i="1"/>
  <c r="J437" i="1"/>
  <c r="I437" i="1"/>
  <c r="H437" i="1"/>
  <c r="F437" i="1"/>
  <c r="E437" i="1"/>
  <c r="D437" i="1"/>
  <c r="C437" i="1"/>
  <c r="B437" i="1"/>
  <c r="A437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O435" i="1"/>
  <c r="N435" i="1"/>
  <c r="M435" i="1"/>
  <c r="L435" i="1"/>
  <c r="J435" i="1"/>
  <c r="I435" i="1"/>
  <c r="H435" i="1"/>
  <c r="G435" i="1"/>
  <c r="F435" i="1"/>
  <c r="E435" i="1"/>
  <c r="D435" i="1"/>
  <c r="C435" i="1"/>
  <c r="B435" i="1"/>
  <c r="A435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O432" i="1"/>
  <c r="N432" i="1"/>
  <c r="M432" i="1"/>
  <c r="L432" i="1"/>
  <c r="K432" i="1"/>
  <c r="J432" i="1"/>
  <c r="I432" i="1"/>
  <c r="H432" i="1"/>
  <c r="E432" i="1"/>
  <c r="D432" i="1"/>
  <c r="C432" i="1"/>
  <c r="B432" i="1"/>
  <c r="A432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O409" i="1"/>
  <c r="N409" i="1"/>
  <c r="M409" i="1"/>
  <c r="L409" i="1"/>
  <c r="K409" i="1"/>
  <c r="J409" i="1"/>
  <c r="I409" i="1"/>
  <c r="H409" i="1"/>
  <c r="F409" i="1"/>
  <c r="E409" i="1"/>
  <c r="D409" i="1"/>
  <c r="C409" i="1"/>
  <c r="B409" i="1"/>
  <c r="A409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O363" i="1"/>
  <c r="N363" i="1"/>
  <c r="M363" i="1"/>
  <c r="L363" i="1"/>
  <c r="K363" i="1"/>
  <c r="J363" i="1"/>
  <c r="I363" i="1"/>
  <c r="H363" i="1"/>
  <c r="G363" i="1"/>
  <c r="E363" i="1"/>
  <c r="D363" i="1"/>
  <c r="C363" i="1"/>
  <c r="B363" i="1"/>
  <c r="A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O347" i="1"/>
  <c r="N347" i="1"/>
  <c r="M347" i="1"/>
  <c r="L347" i="1"/>
  <c r="J347" i="1"/>
  <c r="I347" i="1"/>
  <c r="H347" i="1"/>
  <c r="G347" i="1"/>
  <c r="F347" i="1"/>
  <c r="E347" i="1"/>
  <c r="D347" i="1"/>
  <c r="C347" i="1"/>
  <c r="B347" i="1"/>
  <c r="A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O336" i="1"/>
  <c r="N336" i="1"/>
  <c r="M336" i="1"/>
  <c r="L336" i="1"/>
  <c r="J336" i="1"/>
  <c r="I336" i="1"/>
  <c r="H336" i="1"/>
  <c r="G336" i="1"/>
  <c r="F336" i="1"/>
  <c r="E336" i="1"/>
  <c r="D336" i="1"/>
  <c r="C336" i="1"/>
  <c r="B336" i="1"/>
  <c r="A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O295" i="1"/>
  <c r="N295" i="1"/>
  <c r="M295" i="1"/>
  <c r="L295" i="1"/>
  <c r="J295" i="1"/>
  <c r="I295" i="1"/>
  <c r="H295" i="1"/>
  <c r="G295" i="1"/>
  <c r="F295" i="1"/>
  <c r="E295" i="1"/>
  <c r="D295" i="1"/>
  <c r="C295" i="1"/>
  <c r="B295" i="1"/>
  <c r="A295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O280" i="1"/>
  <c r="N280" i="1"/>
  <c r="M280" i="1"/>
  <c r="L280" i="1"/>
  <c r="J280" i="1"/>
  <c r="I280" i="1"/>
  <c r="H280" i="1"/>
  <c r="G280" i="1"/>
  <c r="F280" i="1"/>
  <c r="E280" i="1"/>
  <c r="D280" i="1"/>
  <c r="C280" i="1"/>
  <c r="B280" i="1"/>
  <c r="A280" i="1"/>
  <c r="O279" i="1"/>
  <c r="N279" i="1"/>
  <c r="M279" i="1"/>
  <c r="L279" i="1"/>
  <c r="J279" i="1"/>
  <c r="I279" i="1"/>
  <c r="H279" i="1"/>
  <c r="G279" i="1"/>
  <c r="F279" i="1"/>
  <c r="E279" i="1"/>
  <c r="D279" i="1"/>
  <c r="C279" i="1"/>
  <c r="B279" i="1"/>
  <c r="A279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O274" i="1"/>
  <c r="N274" i="1"/>
  <c r="M274" i="1"/>
  <c r="L274" i="1"/>
  <c r="J274" i="1"/>
  <c r="I274" i="1"/>
  <c r="H274" i="1"/>
  <c r="G274" i="1"/>
  <c r="F274" i="1"/>
  <c r="E274" i="1"/>
  <c r="D274" i="1"/>
  <c r="C274" i="1"/>
  <c r="B274" i="1"/>
  <c r="A274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O271" i="1"/>
  <c r="N271" i="1"/>
  <c r="M271" i="1"/>
  <c r="L271" i="1"/>
  <c r="K271" i="1"/>
  <c r="J271" i="1"/>
  <c r="I271" i="1"/>
  <c r="H271" i="1"/>
  <c r="G271" i="1"/>
  <c r="E271" i="1"/>
  <c r="D271" i="1"/>
  <c r="C271" i="1"/>
  <c r="B271" i="1"/>
  <c r="A271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O269" i="1"/>
  <c r="N269" i="1"/>
  <c r="M269" i="1"/>
  <c r="L269" i="1"/>
  <c r="J269" i="1"/>
  <c r="I269" i="1"/>
  <c r="H269" i="1"/>
  <c r="E269" i="1"/>
  <c r="D269" i="1"/>
  <c r="C269" i="1"/>
  <c r="B269" i="1"/>
  <c r="A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O251" i="1"/>
  <c r="N251" i="1"/>
  <c r="M251" i="1"/>
  <c r="L251" i="1"/>
  <c r="K251" i="1"/>
  <c r="J251" i="1"/>
  <c r="I251" i="1"/>
  <c r="H251" i="1"/>
  <c r="G251" i="1"/>
  <c r="E251" i="1"/>
  <c r="D251" i="1"/>
  <c r="C251" i="1"/>
  <c r="B251" i="1"/>
  <c r="A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O212" i="1"/>
  <c r="N212" i="1"/>
  <c r="M212" i="1"/>
  <c r="L212" i="1"/>
  <c r="J212" i="1"/>
  <c r="I212" i="1"/>
  <c r="H212" i="1"/>
  <c r="G212" i="1"/>
  <c r="F212" i="1"/>
  <c r="E212" i="1"/>
  <c r="D212" i="1"/>
  <c r="C212" i="1"/>
  <c r="B212" i="1"/>
  <c r="A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O204" i="1"/>
  <c r="N204" i="1"/>
  <c r="M204" i="1"/>
  <c r="L204" i="1"/>
  <c r="K204" i="1"/>
  <c r="J204" i="1"/>
  <c r="I204" i="1"/>
  <c r="H204" i="1"/>
  <c r="G204" i="1"/>
  <c r="E204" i="1"/>
  <c r="D204" i="1"/>
  <c r="C204" i="1"/>
  <c r="B204" i="1"/>
  <c r="A204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O190" i="1"/>
  <c r="N190" i="1"/>
  <c r="M190" i="1"/>
  <c r="L190" i="1"/>
  <c r="J190" i="1"/>
  <c r="I190" i="1"/>
  <c r="H190" i="1"/>
  <c r="G190" i="1"/>
  <c r="F190" i="1"/>
  <c r="E190" i="1"/>
  <c r="D190" i="1"/>
  <c r="C190" i="1"/>
  <c r="B190" i="1"/>
  <c r="A190" i="1"/>
  <c r="O189" i="1"/>
  <c r="N189" i="1"/>
  <c r="M189" i="1"/>
  <c r="L189" i="1"/>
  <c r="J189" i="1"/>
  <c r="I189" i="1"/>
  <c r="H189" i="1"/>
  <c r="G189" i="1"/>
  <c r="F189" i="1"/>
  <c r="E189" i="1"/>
  <c r="D189" i="1"/>
  <c r="C189" i="1"/>
  <c r="B189" i="1"/>
  <c r="A18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O175" i="1"/>
  <c r="N175" i="1"/>
  <c r="M175" i="1"/>
  <c r="L175" i="1"/>
  <c r="J175" i="1"/>
  <c r="I175" i="1"/>
  <c r="H175" i="1"/>
  <c r="G175" i="1"/>
  <c r="F175" i="1"/>
  <c r="E175" i="1"/>
  <c r="D175" i="1"/>
  <c r="C175" i="1"/>
  <c r="B175" i="1"/>
  <c r="A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O173" i="1"/>
  <c r="N173" i="1"/>
  <c r="M173" i="1"/>
  <c r="L173" i="1"/>
  <c r="J173" i="1"/>
  <c r="I173" i="1"/>
  <c r="H173" i="1"/>
  <c r="E173" i="1"/>
  <c r="D173" i="1"/>
  <c r="C173" i="1"/>
  <c r="B173" i="1"/>
  <c r="A173" i="1"/>
  <c r="O172" i="1"/>
  <c r="N172" i="1"/>
  <c r="M172" i="1"/>
  <c r="L172" i="1"/>
  <c r="J172" i="1"/>
  <c r="I172" i="1"/>
  <c r="H172" i="1"/>
  <c r="E172" i="1"/>
  <c r="D172" i="1"/>
  <c r="C172" i="1"/>
  <c r="B172" i="1"/>
  <c r="A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O149" i="1"/>
  <c r="N149" i="1"/>
  <c r="M149" i="1"/>
  <c r="L149" i="1"/>
  <c r="J149" i="1"/>
  <c r="I149" i="1"/>
  <c r="H149" i="1"/>
  <c r="G149" i="1"/>
  <c r="F149" i="1"/>
  <c r="E149" i="1"/>
  <c r="D149" i="1"/>
  <c r="C149" i="1"/>
  <c r="B149" i="1"/>
  <c r="A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O143" i="1"/>
  <c r="N143" i="1"/>
  <c r="M143" i="1"/>
  <c r="L143" i="1"/>
  <c r="J143" i="1"/>
  <c r="I143" i="1"/>
  <c r="H143" i="1"/>
  <c r="G143" i="1"/>
  <c r="F143" i="1"/>
  <c r="E143" i="1"/>
  <c r="D143" i="1"/>
  <c r="C143" i="1"/>
  <c r="B143" i="1"/>
  <c r="A143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O39" i="1"/>
  <c r="N39" i="1"/>
  <c r="M39" i="1"/>
  <c r="L39" i="1"/>
  <c r="J39" i="1"/>
  <c r="I39" i="1"/>
  <c r="H39" i="1"/>
  <c r="G39" i="1"/>
  <c r="F39" i="1"/>
  <c r="E39" i="1"/>
  <c r="D39" i="1"/>
  <c r="C39" i="1"/>
  <c r="B39" i="1"/>
  <c r="A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O35" i="1"/>
  <c r="N35" i="1"/>
  <c r="M35" i="1"/>
  <c r="L35" i="1"/>
  <c r="J35" i="1"/>
  <c r="I35" i="1"/>
  <c r="H35" i="1"/>
  <c r="G35" i="1"/>
  <c r="F35" i="1"/>
  <c r="E35" i="1"/>
  <c r="D35" i="1"/>
  <c r="C35" i="1"/>
  <c r="B35" i="1"/>
  <c r="A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O29" i="1"/>
  <c r="N29" i="1"/>
  <c r="M29" i="1"/>
  <c r="L29" i="1"/>
  <c r="J29" i="1"/>
  <c r="I29" i="1"/>
  <c r="H29" i="1"/>
  <c r="G29" i="1"/>
  <c r="F29" i="1"/>
  <c r="E29" i="1"/>
  <c r="D29" i="1"/>
  <c r="C29" i="1"/>
  <c r="B29" i="1"/>
  <c r="A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<sst xmlns="http://schemas.openxmlformats.org/spreadsheetml/2006/main" count="20" uniqueCount="20">
  <si>
    <t xml:space="preserve">TANKERS </t>
  </si>
  <si>
    <t>Downsorted</t>
  </si>
  <si>
    <t>Ships for Sale</t>
  </si>
  <si>
    <t>Home</t>
  </si>
  <si>
    <t>by</t>
  </si>
  <si>
    <t>Reference</t>
  </si>
  <si>
    <t>Type</t>
  </si>
  <si>
    <t>TDW</t>
  </si>
  <si>
    <t>Built</t>
  </si>
  <si>
    <t>Loa x Beam</t>
  </si>
  <si>
    <t>Tanks</t>
  </si>
  <si>
    <t>Cargo m3</t>
  </si>
  <si>
    <t>Coiled/Coated</t>
  </si>
  <si>
    <t>Cargo pumps</t>
  </si>
  <si>
    <t>Main Eng.</t>
  </si>
  <si>
    <t>Speed/Cons</t>
  </si>
  <si>
    <t>BWTS</t>
  </si>
  <si>
    <t>Class SS</t>
  </si>
  <si>
    <t>Location</t>
  </si>
  <si>
    <t>Price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</si>
</sst>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scheme val="minor"/>
    </font>
    <font>
      <u/>
      <sz val="11"/>
      <color theme="1"/>
      <name val="Aptos Narrow"/>
    </font>
    <font>
      <b/>
      <u/>
      <sz val="18"/>
      <color rgb="FF153D64"/>
      <name val="Aptos Narrow"/>
    </font>
    <font>
      <b/>
      <sz val="11"/>
      <color rgb="FF153D64"/>
      <name val="Aptos Narrow"/>
    </font>
    <font>
      <b/>
      <u/>
      <sz val="11"/>
      <color theme="10"/>
      <name val="Aptos Narrow"/>
    </font>
    <font>
      <b/>
      <u/>
      <sz val="11"/>
      <color theme="10"/>
      <name val="Aptos Narrow"/>
    </font>
    <font>
      <sz val="12"/>
      <color theme="0"/>
      <name val="Aptos Narrow"/>
    </font>
    <font>
      <b/>
      <sz val="14"/>
      <color theme="0"/>
      <name val="Aptos Narrow"/>
    </font>
    <font>
      <sz val="11"/>
      <color theme="1"/>
      <name val="Aptos Narrow"/>
    </font>
    <font>
      <b/>
      <sz val="11"/>
      <color theme="0"/>
      <name val="Aptos Narrow"/>
    </font>
    <font>
      <u/>
      <sz val="11"/>
      <color theme="1"/>
      <name val="Aptos Narrow"/>
    </font>
    <font>
      <sz val="11"/>
      <color theme="1"/>
      <name val="Arial"/>
    </font>
    <font>
      <b/>
      <u/>
      <sz val="11"/>
      <color theme="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53D64"/>
        <bgColor rgb="FF153D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9" fillId="3" borderId="4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.asia/" TargetMode="External"/><Relationship Id="rId13" Type="http://schemas.openxmlformats.org/officeDocument/2006/relationships/hyperlink" Target="http://se.asia/" TargetMode="External"/><Relationship Id="rId18" Type="http://schemas.openxmlformats.org/officeDocument/2006/relationships/hyperlink" Target="http://se.asia/" TargetMode="External"/><Relationship Id="rId3" Type="http://schemas.openxmlformats.org/officeDocument/2006/relationships/hyperlink" Target="http://se.asia/" TargetMode="External"/><Relationship Id="rId7" Type="http://schemas.openxmlformats.org/officeDocument/2006/relationships/hyperlink" Target="http://se.asia/" TargetMode="External"/><Relationship Id="rId12" Type="http://schemas.openxmlformats.org/officeDocument/2006/relationships/hyperlink" Target="http://se.asia/" TargetMode="External"/><Relationship Id="rId17" Type="http://schemas.openxmlformats.org/officeDocument/2006/relationships/hyperlink" Target="http://se.asia/" TargetMode="External"/><Relationship Id="rId2" Type="http://schemas.openxmlformats.org/officeDocument/2006/relationships/hyperlink" Target="https://frankshipbrokers.com/" TargetMode="External"/><Relationship Id="rId16" Type="http://schemas.openxmlformats.org/officeDocument/2006/relationships/hyperlink" Target="http://se.asia/" TargetMode="External"/><Relationship Id="rId1" Type="http://schemas.openxmlformats.org/officeDocument/2006/relationships/hyperlink" Target="https://frankshipbrokers.com/ships-for-sale/" TargetMode="External"/><Relationship Id="rId6" Type="http://schemas.openxmlformats.org/officeDocument/2006/relationships/hyperlink" Target="http://se.asia/" TargetMode="External"/><Relationship Id="rId11" Type="http://schemas.openxmlformats.org/officeDocument/2006/relationships/hyperlink" Target="http://india-se.asia/" TargetMode="External"/><Relationship Id="rId5" Type="http://schemas.openxmlformats.org/officeDocument/2006/relationships/hyperlink" Target="http://se.asia/" TargetMode="External"/><Relationship Id="rId15" Type="http://schemas.openxmlformats.org/officeDocument/2006/relationships/hyperlink" Target="http://se.asia/" TargetMode="External"/><Relationship Id="rId10" Type="http://schemas.openxmlformats.org/officeDocument/2006/relationships/hyperlink" Target="http://se.asia/" TargetMode="External"/><Relationship Id="rId4" Type="http://schemas.openxmlformats.org/officeDocument/2006/relationships/hyperlink" Target="http://se.asia/" TargetMode="External"/><Relationship Id="rId9" Type="http://schemas.openxmlformats.org/officeDocument/2006/relationships/hyperlink" Target="http://se.asia/" TargetMode="External"/><Relationship Id="rId14" Type="http://schemas.openxmlformats.org/officeDocument/2006/relationships/hyperlink" Target="http://se.as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pane ySplit="4" topLeftCell="A5" activePane="bottomLeft" state="frozen"/>
      <selection pane="bottomLeft" activeCell="B6" sqref="B6"/>
    </sheetView>
  </sheetViews>
  <sheetFormatPr defaultColWidth="12.5703125" defaultRowHeight="15" customHeight="1" x14ac:dyDescent="0.25"/>
  <cols>
    <col min="1" max="1" width="19.140625" customWidth="1"/>
    <col min="2" max="2" width="28.140625" customWidth="1"/>
    <col min="3" max="3" width="11.140625" customWidth="1"/>
    <col min="4" max="4" width="14.42578125" customWidth="1"/>
    <col min="5" max="5" width="13.5703125" customWidth="1"/>
    <col min="6" max="7" width="8.5703125" customWidth="1"/>
    <col min="8" max="8" width="16.5703125" customWidth="1"/>
    <col min="9" max="9" width="17.5703125" customWidth="1"/>
    <col min="10" max="10" width="12" customWidth="1"/>
    <col min="11" max="11" width="14.140625" customWidth="1"/>
    <col min="12" max="12" width="18.42578125" customWidth="1"/>
    <col min="13" max="13" width="13.42578125" customWidth="1"/>
    <col min="14" max="14" width="14.85546875" customWidth="1"/>
    <col min="15" max="15" width="12.140625" customWidth="1"/>
    <col min="16" max="26" width="8.5703125" customWidth="1"/>
  </cols>
  <sheetData>
    <row r="1" spans="1:15" ht="24" x14ac:dyDescent="0.4">
      <c r="G1" s="1"/>
      <c r="H1" s="2" t="s">
        <v>0</v>
      </c>
    </row>
    <row r="2" spans="1:15" x14ac:dyDescent="0.25">
      <c r="C2" s="3" t="s">
        <v>1</v>
      </c>
      <c r="N2" s="4" t="s">
        <v>2</v>
      </c>
      <c r="O2" s="5" t="s">
        <v>3</v>
      </c>
    </row>
    <row r="3" spans="1:15" x14ac:dyDescent="0.25">
      <c r="C3" s="3" t="s">
        <v>4</v>
      </c>
    </row>
    <row r="4" spans="1:15" ht="18.75" x14ac:dyDescent="0.3">
      <c r="A4" s="6" t="s">
        <v>5</v>
      </c>
      <c r="B4" s="6" t="s">
        <v>6</v>
      </c>
      <c r="C4" s="7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</row>
    <row r="5" spans="1:15" x14ac:dyDescent="0.25">
      <c r="A5" s="8" t="str">
        <f ca="1">IFERROR(__xludf.DUMMYFUNCTION("IMPORTRANGE(""https://docs.google.com/spreadsheets/d/1kvGMJykhxv55Js7rJTGpzzz84ebYUFkr_rEwvP_8DZ0/edit?usp=sharing"", ""Tankers !B7:P522"")"),"TA 321039/13 ")</f>
        <v xml:space="preserve">TA 321039/13 </v>
      </c>
      <c r="B5" s="8" t="str">
        <f ca="1">IFERROR(__xludf.DUMMYFUNCTION("""COMPUTED_VALUE"""),"VLCC")</f>
        <v>VLCC</v>
      </c>
      <c r="C5" s="9">
        <f ca="1">IFERROR(__xludf.DUMMYFUNCTION("""COMPUTED_VALUE"""),321039)</f>
        <v>321039</v>
      </c>
      <c r="D5" s="8" t="str">
        <f ca="1">IFERROR(__xludf.DUMMYFUNCTION("""COMPUTED_VALUE"""),"2013-China")</f>
        <v>2013-China</v>
      </c>
      <c r="E5" s="8" t="str">
        <f ca="1">IFERROR(__xludf.DUMMYFUNCTION("""COMPUTED_VALUE"""),"332.0 x 60.04")</f>
        <v>332.0 x 60.04</v>
      </c>
      <c r="F5" s="8">
        <f ca="1">IFERROR(__xludf.DUMMYFUNCTION("""COMPUTED_VALUE"""),15)</f>
        <v>15</v>
      </c>
      <c r="G5" s="8">
        <f ca="1">IFERROR(__xludf.DUMMYFUNCTION("""COMPUTED_VALUE"""),351327)</f>
        <v>351327</v>
      </c>
      <c r="H5" s="8" t="str">
        <f ca="1">IFERROR(__xludf.DUMMYFUNCTION("""COMPUTED_VALUE"""),"N/N")</f>
        <v>N/N</v>
      </c>
      <c r="I5" s="8" t="str">
        <f ca="1">IFERROR(__xludf.DUMMYFUNCTION("""COMPUTED_VALUE"""),"3 x 5500")</f>
        <v>3 x 5500</v>
      </c>
      <c r="J5" s="8" t="str">
        <f ca="1">IFERROR(__xludf.DUMMYFUNCTION("""COMPUTED_VALUE"""),"Wartsila")</f>
        <v>Wartsila</v>
      </c>
      <c r="K5" s="8" t="str">
        <f ca="1">IFERROR(__xludf.DUMMYFUNCTION("""COMPUTED_VALUE"""),"-")</f>
        <v>-</v>
      </c>
      <c r="L5" s="8" t="str">
        <f ca="1">IFERROR(__xludf.DUMMYFUNCTION("""COMPUTED_VALUE"""),"BWTS &amp; Scrubber")</f>
        <v>BWTS &amp; Scrubber</v>
      </c>
      <c r="M5" s="8" t="str">
        <f ca="1">IFERROR(__xludf.DUMMYFUNCTION("""COMPUTED_VALUE"""),"AB 1/29D")</f>
        <v>AB 1/29D</v>
      </c>
      <c r="N5" s="8" t="str">
        <f ca="1">IFERROR(__xludf.DUMMYFUNCTION("""COMPUTED_VALUE"""),"Check")</f>
        <v>Check</v>
      </c>
      <c r="O5" s="8" t="str">
        <f ca="1">IFERROR(__xludf.DUMMYFUNCTION("""COMPUTED_VALUE"""),"B.offers")</f>
        <v>B.offers</v>
      </c>
    </row>
    <row r="6" spans="1:15" x14ac:dyDescent="0.25">
      <c r="A6" s="8" t="str">
        <f ca="1">IFERROR(__xludf.DUMMYFUNCTION("""COMPUTED_VALUE"""),"TA 320700/14 ")</f>
        <v xml:space="preserve">TA 320700/14 </v>
      </c>
      <c r="B6" s="8" t="str">
        <f ca="1">IFERROR(__xludf.DUMMYFUNCTION("""COMPUTED_VALUE"""),"VLCC")</f>
        <v>VLCC</v>
      </c>
      <c r="C6" s="9">
        <f ca="1">IFERROR(__xludf.DUMMYFUNCTION("""COMPUTED_VALUE"""),320700)</f>
        <v>320700</v>
      </c>
      <c r="D6" s="8" t="str">
        <f ca="1">IFERROR(__xludf.DUMMYFUNCTION("""COMPUTED_VALUE"""),"2014-China")</f>
        <v>2014-China</v>
      </c>
      <c r="E6" s="8" t="str">
        <f ca="1">IFERROR(__xludf.DUMMYFUNCTION("""COMPUTED_VALUE"""),"331.9 x 60.03")</f>
        <v>331.9 x 60.03</v>
      </c>
      <c r="F6" s="8">
        <f ca="1">IFERROR(__xludf.DUMMYFUNCTION("""COMPUTED_VALUE"""),15)</f>
        <v>15</v>
      </c>
      <c r="G6" s="8">
        <f ca="1">IFERROR(__xludf.DUMMYFUNCTION("""COMPUTED_VALUE"""),351327)</f>
        <v>351327</v>
      </c>
      <c r="H6" s="8" t="str">
        <f ca="1">IFERROR(__xludf.DUMMYFUNCTION("""COMPUTED_VALUE"""),"N/N")</f>
        <v>N/N</v>
      </c>
      <c r="I6" s="8" t="str">
        <f ca="1">IFERROR(__xludf.DUMMYFUNCTION("""COMPUTED_VALUE"""),"3 x 5500")</f>
        <v>3 x 5500</v>
      </c>
      <c r="J6" s="8" t="str">
        <f ca="1">IFERROR(__xludf.DUMMYFUNCTION("""COMPUTED_VALUE"""),"Wartsila")</f>
        <v>Wartsila</v>
      </c>
      <c r="K6" s="8" t="str">
        <f ca="1">IFERROR(__xludf.DUMMYFUNCTION("""COMPUTED_VALUE"""),"-")</f>
        <v>-</v>
      </c>
      <c r="L6" s="8" t="str">
        <f ca="1">IFERROR(__xludf.DUMMYFUNCTION("""COMPUTED_VALUE"""),"BWTS &amp; Scrubber")</f>
        <v>BWTS &amp; Scrubber</v>
      </c>
      <c r="M6" s="8" t="str">
        <f ca="1">IFERROR(__xludf.DUMMYFUNCTION("""COMPUTED_VALUE"""),"AB 2/29D")</f>
        <v>AB 2/29D</v>
      </c>
      <c r="N6" s="8" t="str">
        <f ca="1">IFERROR(__xludf.DUMMYFUNCTION("""COMPUTED_VALUE"""),"Check")</f>
        <v>Check</v>
      </c>
      <c r="O6" s="8" t="str">
        <f ca="1">IFERROR(__xludf.DUMMYFUNCTION("""COMPUTED_VALUE"""),"B.offers")</f>
        <v>B.offers</v>
      </c>
    </row>
    <row r="7" spans="1:15" x14ac:dyDescent="0.25">
      <c r="A7" s="8" t="str">
        <f ca="1">IFERROR(__xludf.DUMMYFUNCTION("""COMPUTED_VALUE"""),"TA 320054/10 ")</f>
        <v xml:space="preserve">TA 320054/10 </v>
      </c>
      <c r="B7" s="8" t="str">
        <f ca="1">IFERROR(__xludf.DUMMYFUNCTION("""COMPUTED_VALUE"""),"VLCC    (Sale or TC)")</f>
        <v>VLCC    (Sale or TC)</v>
      </c>
      <c r="C7" s="9">
        <f ca="1">IFERROR(__xludf.DUMMYFUNCTION("""COMPUTED_VALUE"""),320054)</f>
        <v>320054</v>
      </c>
      <c r="D7" s="8" t="str">
        <f ca="1">IFERROR(__xludf.DUMMYFUNCTION("""COMPUTED_VALUE"""),"2010-Korea")</f>
        <v>2010-Korea</v>
      </c>
      <c r="E7" s="8" t="str">
        <f ca="1">IFERROR(__xludf.DUMMYFUNCTION("""COMPUTED_VALUE"""),"339.7 x 60.0")</f>
        <v>339.7 x 60.0</v>
      </c>
      <c r="F7" s="8">
        <f ca="1">IFERROR(__xludf.DUMMYFUNCTION("""COMPUTED_VALUE"""),17)</f>
        <v>17</v>
      </c>
      <c r="G7" s="8">
        <f ca="1">IFERROR(__xludf.DUMMYFUNCTION("""COMPUTED_VALUE"""),344152)</f>
        <v>344152</v>
      </c>
      <c r="H7" s="8" t="str">
        <f ca="1">IFERROR(__xludf.DUMMYFUNCTION("""COMPUTED_VALUE"""),"N/Y Epoxy")</f>
        <v>N/Y Epoxy</v>
      </c>
      <c r="I7" s="8" t="str">
        <f ca="1">IFERROR(__xludf.DUMMYFUNCTION("""COMPUTED_VALUE"""),"3 X 5500")</f>
        <v>3 X 5500</v>
      </c>
      <c r="J7" s="8" t="str">
        <f ca="1">IFERROR(__xludf.DUMMYFUNCTION("""COMPUTED_VALUE"""),"Wartsila")</f>
        <v>Wartsila</v>
      </c>
      <c r="K7" s="8" t="str">
        <f ca="1">IFERROR(__xludf.DUMMYFUNCTION("""COMPUTED_VALUE"""),"14k/65t IFO")</f>
        <v>14k/65t IFO</v>
      </c>
      <c r="L7" s="8" t="str">
        <f ca="1">IFERROR(__xludf.DUMMYFUNCTION("""COMPUTED_VALUE"""),"BWTS &amp; Scrubber")</f>
        <v>BWTS &amp; Scrubber</v>
      </c>
      <c r="M7" s="8" t="str">
        <f ca="1">IFERROR(__xludf.DUMMYFUNCTION("""COMPUTED_VALUE"""),"NK 1/30D")</f>
        <v>NK 1/30D</v>
      </c>
      <c r="N7" s="10" t="str">
        <f ca="1">IFERROR(__xludf.DUMMYFUNCTION("""COMPUTED_VALUE"""),"SE.Asia")</f>
        <v>SE.Asia</v>
      </c>
      <c r="O7" s="8" t="str">
        <f ca="1">IFERROR(__xludf.DUMMYFUNCTION("""COMPUTED_VALUE"""),"60.0 m")</f>
        <v>60.0 m</v>
      </c>
    </row>
    <row r="8" spans="1:15" x14ac:dyDescent="0.25">
      <c r="A8" s="8" t="str">
        <f ca="1">IFERROR(__xludf.DUMMYFUNCTION("""COMPUTED_VALUE"""),"TA 318325/08 ")</f>
        <v xml:space="preserve">TA 318325/08 </v>
      </c>
      <c r="B8" s="8" t="str">
        <f ca="1">IFERROR(__xludf.DUMMYFUNCTION("""COMPUTED_VALUE"""),"VLCC")</f>
        <v>VLCC</v>
      </c>
      <c r="C8" s="9">
        <f ca="1">IFERROR(__xludf.DUMMYFUNCTION("""COMPUTED_VALUE"""),318325)</f>
        <v>318325</v>
      </c>
      <c r="D8" s="8" t="str">
        <f ca="1">IFERROR(__xludf.DUMMYFUNCTION("""COMPUTED_VALUE"""),"2008-Korea")</f>
        <v>2008-Korea</v>
      </c>
      <c r="E8" s="8" t="str">
        <f ca="1">IFERROR(__xludf.DUMMYFUNCTION("""COMPUTED_VALUE"""),"332.9 X 60.0")</f>
        <v>332.9 X 60.0</v>
      </c>
      <c r="F8" s="8">
        <f ca="1">IFERROR(__xludf.DUMMYFUNCTION("""COMPUTED_VALUE"""),17)</f>
        <v>17</v>
      </c>
      <c r="G8" s="8">
        <f ca="1">IFERROR(__xludf.DUMMYFUNCTION("""COMPUTED_VALUE"""),338862)</f>
        <v>338862</v>
      </c>
      <c r="H8" s="8" t="str">
        <f ca="1">IFERROR(__xludf.DUMMYFUNCTION("""COMPUTED_VALUE"""),"N/N")</f>
        <v>N/N</v>
      </c>
      <c r="I8" s="8" t="str">
        <f ca="1">IFERROR(__xludf.DUMMYFUNCTION("""COMPUTED_VALUE"""),"3 x 5500")</f>
        <v>3 x 5500</v>
      </c>
      <c r="J8" s="8" t="str">
        <f ca="1">IFERROR(__xludf.DUMMYFUNCTION("""COMPUTED_VALUE"""),"MAN-B&amp;W")</f>
        <v>MAN-B&amp;W</v>
      </c>
      <c r="K8" s="11" t="str">
        <f ca="1">IFERROR(__xludf.DUMMYFUNCTION("""COMPUTED_VALUE"""),"15.5k/104t ")</f>
        <v xml:space="preserve">15.5k/104t </v>
      </c>
      <c r="L8" s="8" t="str">
        <f ca="1">IFERROR(__xludf.DUMMYFUNCTION("""COMPUTED_VALUE"""),"To be chkd")</f>
        <v>To be chkd</v>
      </c>
      <c r="M8" s="8" t="str">
        <f ca="1">IFERROR(__xludf.DUMMYFUNCTION("""COMPUTED_VALUE"""),"LR 8/28D")</f>
        <v>LR 8/28D</v>
      </c>
      <c r="N8" s="8" t="str">
        <f ca="1">IFERROR(__xludf.DUMMYFUNCTION("""COMPUTED_VALUE"""),"PG")</f>
        <v>PG</v>
      </c>
      <c r="O8" s="8" t="str">
        <f ca="1">IFERROR(__xludf.DUMMYFUNCTION("""COMPUTED_VALUE"""),"56-55 m")</f>
        <v>56-55 m</v>
      </c>
    </row>
    <row r="9" spans="1:15" x14ac:dyDescent="0.25">
      <c r="A9" s="8" t="str">
        <f ca="1">IFERROR(__xludf.DUMMYFUNCTION("""COMPUTED_VALUE"""),"TA 317826/06")</f>
        <v>TA 317826/06</v>
      </c>
      <c r="B9" s="8" t="str">
        <f ca="1">IFERROR(__xludf.DUMMYFUNCTION("""COMPUTED_VALUE"""),"VLCC")</f>
        <v>VLCC</v>
      </c>
      <c r="C9" s="9">
        <f ca="1">IFERROR(__xludf.DUMMYFUNCTION("""COMPUTED_VALUE"""),317826)</f>
        <v>317826</v>
      </c>
      <c r="D9" s="8" t="str">
        <f ca="1">IFERROR(__xludf.DUMMYFUNCTION("""COMPUTED_VALUE"""),"2006-Korea")</f>
        <v>2006-Korea</v>
      </c>
      <c r="E9" s="8" t="str">
        <f ca="1">IFERROR(__xludf.DUMMYFUNCTION("""COMPUTED_VALUE"""),"333.0 X 60.0")</f>
        <v>333.0 X 60.0</v>
      </c>
      <c r="F9" s="8">
        <f ca="1">IFERROR(__xludf.DUMMYFUNCTION("""COMPUTED_VALUE"""),17)</f>
        <v>17</v>
      </c>
      <c r="G9" s="8" t="str">
        <f ca="1">IFERROR(__xludf.DUMMYFUNCTION("""COMPUTED_VALUE"""),"-")</f>
        <v>-</v>
      </c>
      <c r="H9" s="8" t="str">
        <f ca="1">IFERROR(__xludf.DUMMYFUNCTION("""COMPUTED_VALUE"""),"N/N")</f>
        <v>N/N</v>
      </c>
      <c r="I9" s="8" t="str">
        <f ca="1">IFERROR(__xludf.DUMMYFUNCTION("""COMPUTED_VALUE"""),"-")</f>
        <v>-</v>
      </c>
      <c r="J9" s="8" t="str">
        <f ca="1">IFERROR(__xludf.DUMMYFUNCTION("""COMPUTED_VALUE"""),"-")</f>
        <v>-</v>
      </c>
      <c r="K9" s="8" t="str">
        <f ca="1">IFERROR(__xludf.DUMMYFUNCTION("""COMPUTED_VALUE"""),"-")</f>
        <v>-</v>
      </c>
      <c r="L9" s="8" t="str">
        <f ca="1">IFERROR(__xludf.DUMMYFUNCTION("""COMPUTED_VALUE"""),"To be chkd")</f>
        <v>To be chkd</v>
      </c>
      <c r="M9" s="8" t="str">
        <f ca="1">IFERROR(__xludf.DUMMYFUNCTION("""COMPUTED_VALUE"""),"ABS Class")</f>
        <v>ABS Class</v>
      </c>
      <c r="N9" s="8" t="str">
        <f ca="1">IFERROR(__xludf.DUMMYFUNCTION("""COMPUTED_VALUE"""),"West")</f>
        <v>West</v>
      </c>
      <c r="O9" s="8" t="str">
        <f ca="1">IFERROR(__xludf.DUMMYFUNCTION("""COMPUTED_VALUE"""),"B.offers")</f>
        <v>B.offers</v>
      </c>
    </row>
    <row r="10" spans="1:15" x14ac:dyDescent="0.25">
      <c r="A10" s="8" t="str">
        <f ca="1">IFERROR(__xludf.DUMMYFUNCTION("""COMPUTED_VALUE"""),"TA 308596/00")</f>
        <v>TA 308596/00</v>
      </c>
      <c r="B10" s="8" t="str">
        <f ca="1">IFERROR(__xludf.DUMMYFUNCTION("""COMPUTED_VALUE"""),"VLCC/FSO Oil Tank")</f>
        <v>VLCC/FSO Oil Tank</v>
      </c>
      <c r="C10" s="9">
        <f ca="1">IFERROR(__xludf.DUMMYFUNCTION("""COMPUTED_VALUE"""),308596)</f>
        <v>308596</v>
      </c>
      <c r="D10" s="8" t="str">
        <f ca="1">IFERROR(__xludf.DUMMYFUNCTION("""COMPUTED_VALUE"""),"2000-Korea")</f>
        <v>2000-Korea</v>
      </c>
      <c r="E10" s="8" t="str">
        <f ca="1">IFERROR(__xludf.DUMMYFUNCTION("""COMPUTED_VALUE"""),"332.9 x 58.0")</f>
        <v>332.9 x 58.0</v>
      </c>
      <c r="F10" s="8" t="str">
        <f ca="1">IFERROR(__xludf.DUMMYFUNCTION("""COMPUTED_VALUE"""),"15")</f>
        <v>15</v>
      </c>
      <c r="G10" s="8">
        <f ca="1">IFERROR(__xludf.DUMMYFUNCTION("""COMPUTED_VALUE"""),341879)</f>
        <v>341879</v>
      </c>
      <c r="H10" s="8" t="str">
        <f ca="1">IFERROR(__xludf.DUMMYFUNCTION("""COMPUTED_VALUE"""),"-")</f>
        <v>-</v>
      </c>
      <c r="I10" s="8" t="str">
        <f ca="1">IFERROR(__xludf.DUMMYFUNCTION("""COMPUTED_VALUE"""),"3 x 5500")</f>
        <v>3 x 5500</v>
      </c>
      <c r="J10" s="8" t="str">
        <f ca="1">IFERROR(__xludf.DUMMYFUNCTION("""COMPUTED_VALUE"""),"Sulzer")</f>
        <v>Sulzer</v>
      </c>
      <c r="K10" s="8" t="str">
        <f ca="1">IFERROR(__xludf.DUMMYFUNCTION("""COMPUTED_VALUE"""),"-")</f>
        <v>-</v>
      </c>
      <c r="L10" s="8" t="str">
        <f ca="1">IFERROR(__xludf.DUMMYFUNCTION("""COMPUTED_VALUE"""),"To be chkd")</f>
        <v>To be chkd</v>
      </c>
      <c r="M10" s="8" t="str">
        <f ca="1">IFERROR(__xludf.DUMMYFUNCTION("""COMPUTED_VALUE"""),"RI 12/26D")</f>
        <v>RI 12/26D</v>
      </c>
      <c r="N10" s="8" t="str">
        <f ca="1">IFERROR(__xludf.DUMMYFUNCTION("""COMPUTED_VALUE"""),"Indonesia")</f>
        <v>Indonesia</v>
      </c>
      <c r="O10" s="8" t="str">
        <f ca="1">IFERROR(__xludf.DUMMYFUNCTION("""COMPUTED_VALUE"""),"31.5-30.5 m")</f>
        <v>31.5-30.5 m</v>
      </c>
    </row>
    <row r="11" spans="1:15" x14ac:dyDescent="0.25">
      <c r="A11" s="8" t="str">
        <f ca="1">IFERROR(__xludf.DUMMYFUNCTION("""COMPUTED_VALUE"""),"TA 308297/16")</f>
        <v>TA 308297/16</v>
      </c>
      <c r="B11" s="8" t="str">
        <f ca="1">IFERROR(__xludf.DUMMYFUNCTION("""COMPUTED_VALUE"""),"VLCC")</f>
        <v>VLCC</v>
      </c>
      <c r="C11" s="9">
        <f ca="1">IFERROR(__xludf.DUMMYFUNCTION("""COMPUTED_VALUE"""),308297)</f>
        <v>308297</v>
      </c>
      <c r="D11" s="8" t="str">
        <f ca="1">IFERROR(__xludf.DUMMYFUNCTION("""COMPUTED_VALUE"""),"2016-China")</f>
        <v>2016-China</v>
      </c>
      <c r="E11" s="8" t="str">
        <f ca="1">IFERROR(__xludf.DUMMYFUNCTION("""COMPUTED_VALUE"""),"332.9 X 60.0")</f>
        <v>332.9 X 60.0</v>
      </c>
      <c r="F11" s="8" t="str">
        <f ca="1">IFERROR(__xludf.DUMMYFUNCTION("""COMPUTED_VALUE"""),"15")</f>
        <v>15</v>
      </c>
      <c r="G11" s="8">
        <f ca="1">IFERROR(__xludf.DUMMYFUNCTION("""COMPUTED_VALUE"""),331985)</f>
        <v>331985</v>
      </c>
      <c r="H11" s="8" t="str">
        <f ca="1">IFERROR(__xludf.DUMMYFUNCTION("""COMPUTED_VALUE"""),"N/N")</f>
        <v>N/N</v>
      </c>
      <c r="I11" s="8">
        <f ca="1">IFERROR(__xludf.DUMMYFUNCTION("""COMPUTED_VALUE"""),3)</f>
        <v>3</v>
      </c>
      <c r="J11" s="8" t="str">
        <f ca="1">IFERROR(__xludf.DUMMYFUNCTION("""COMPUTED_VALUE"""),"MAN-B&amp;W")</f>
        <v>MAN-B&amp;W</v>
      </c>
      <c r="K11" s="8" t="str">
        <f ca="1">IFERROR(__xludf.DUMMYFUNCTION("""COMPUTED_VALUE"""),"-")</f>
        <v>-</v>
      </c>
      <c r="L11" s="8" t="str">
        <f ca="1">IFERROR(__xludf.DUMMYFUNCTION("""COMPUTED_VALUE"""),"Scrubber fitted")</f>
        <v>Scrubber fitted</v>
      </c>
      <c r="M11" s="8" t="str">
        <f ca="1">IFERROR(__xludf.DUMMYFUNCTION("""COMPUTED_VALUE"""),"CCS 8/26D")</f>
        <v>CCS 8/26D</v>
      </c>
      <c r="N11" s="8" t="str">
        <f ca="1">IFERROR(__xludf.DUMMYFUNCTION("""COMPUTED_VALUE"""),"India")</f>
        <v>India</v>
      </c>
      <c r="O11" s="8" t="str">
        <f ca="1">IFERROR(__xludf.DUMMYFUNCTION("""COMPUTED_VALUE"""),"82-80 m")</f>
        <v>82-80 m</v>
      </c>
    </row>
    <row r="12" spans="1:15" x14ac:dyDescent="0.25">
      <c r="A12" s="8" t="str">
        <f ca="1">IFERROR(__xludf.DUMMYFUNCTION("""COMPUTED_VALUE"""),"TA 308285/16")</f>
        <v>TA 308285/16</v>
      </c>
      <c r="B12" s="8" t="str">
        <f ca="1">IFERROR(__xludf.DUMMYFUNCTION("""COMPUTED_VALUE"""),"VLCC")</f>
        <v>VLCC</v>
      </c>
      <c r="C12" s="9">
        <f ca="1">IFERROR(__xludf.DUMMYFUNCTION("""COMPUTED_VALUE"""),308285)</f>
        <v>308285</v>
      </c>
      <c r="D12" s="8" t="str">
        <f ca="1">IFERROR(__xludf.DUMMYFUNCTION("""COMPUTED_VALUE"""),"2016-China")</f>
        <v>2016-China</v>
      </c>
      <c r="E12" s="8" t="str">
        <f ca="1">IFERROR(__xludf.DUMMYFUNCTION("""COMPUTED_VALUE"""),"332.9 X 60.0")</f>
        <v>332.9 X 60.0</v>
      </c>
      <c r="F12" s="8" t="str">
        <f ca="1">IFERROR(__xludf.DUMMYFUNCTION("""COMPUTED_VALUE"""),"15")</f>
        <v>15</v>
      </c>
      <c r="G12" s="8">
        <f ca="1">IFERROR(__xludf.DUMMYFUNCTION("""COMPUTED_VALUE"""),331996)</f>
        <v>331996</v>
      </c>
      <c r="H12" s="8" t="str">
        <f ca="1">IFERROR(__xludf.DUMMYFUNCTION("""COMPUTED_VALUE"""),"N/N")</f>
        <v>N/N</v>
      </c>
      <c r="I12" s="8">
        <f ca="1">IFERROR(__xludf.DUMMYFUNCTION("""COMPUTED_VALUE"""),3)</f>
        <v>3</v>
      </c>
      <c r="J12" s="8" t="str">
        <f ca="1">IFERROR(__xludf.DUMMYFUNCTION("""COMPUTED_VALUE"""),"MAN-B&amp;W")</f>
        <v>MAN-B&amp;W</v>
      </c>
      <c r="K12" s="8" t="str">
        <f ca="1">IFERROR(__xludf.DUMMYFUNCTION("""COMPUTED_VALUE"""),"-")</f>
        <v>-</v>
      </c>
      <c r="L12" s="8" t="str">
        <f ca="1">IFERROR(__xludf.DUMMYFUNCTION("""COMPUTED_VALUE"""),"Scrubber fitted")</f>
        <v>Scrubber fitted</v>
      </c>
      <c r="M12" s="8" t="str">
        <f ca="1">IFERROR(__xludf.DUMMYFUNCTION("""COMPUTED_VALUE"""),"BV 9/26D")</f>
        <v>BV 9/26D</v>
      </c>
      <c r="N12" s="8" t="str">
        <f ca="1">IFERROR(__xludf.DUMMYFUNCTION("""COMPUTED_VALUE"""),"Malaysia ")</f>
        <v xml:space="preserve">Malaysia </v>
      </c>
      <c r="O12" s="8" t="str">
        <f ca="1">IFERROR(__xludf.DUMMYFUNCTION("""COMPUTED_VALUE"""),"82-80 m")</f>
        <v>82-80 m</v>
      </c>
    </row>
    <row r="13" spans="1:15" x14ac:dyDescent="0.25">
      <c r="A13" s="8" t="str">
        <f ca="1">IFERROR(__xludf.DUMMYFUNCTION("""COMPUTED_VALUE"""),"TA 308121/19")</f>
        <v>TA 308121/19</v>
      </c>
      <c r="B13" s="8" t="str">
        <f ca="1">IFERROR(__xludf.DUMMYFUNCTION("""COMPUTED_VALUE"""),"VLCC")</f>
        <v>VLCC</v>
      </c>
      <c r="C13" s="9">
        <f ca="1">IFERROR(__xludf.DUMMYFUNCTION("""COMPUTED_VALUE"""),308121)</f>
        <v>308121</v>
      </c>
      <c r="D13" s="8" t="str">
        <f ca="1">IFERROR(__xludf.DUMMYFUNCTION("""COMPUTED_VALUE"""),"2019-China")</f>
        <v>2019-China</v>
      </c>
      <c r="E13" s="8" t="str">
        <f ca="1">IFERROR(__xludf.DUMMYFUNCTION("""COMPUTED_VALUE"""),"332.4 x 60.0")</f>
        <v>332.4 x 60.0</v>
      </c>
      <c r="F13" s="8" t="str">
        <f ca="1">IFERROR(__xludf.DUMMYFUNCTION("""COMPUTED_VALUE"""),"15")</f>
        <v>15</v>
      </c>
      <c r="G13" s="8">
        <f ca="1">IFERROR(__xludf.DUMMYFUNCTION("""COMPUTED_VALUE"""),331985)</f>
        <v>331985</v>
      </c>
      <c r="H13" s="8" t="str">
        <f ca="1">IFERROR(__xludf.DUMMYFUNCTION("""COMPUTED_VALUE"""),"N/N")</f>
        <v>N/N</v>
      </c>
      <c r="I13" s="8">
        <f ca="1">IFERROR(__xludf.DUMMYFUNCTION("""COMPUTED_VALUE"""),3)</f>
        <v>3</v>
      </c>
      <c r="J13" s="8" t="str">
        <f ca="1">IFERROR(__xludf.DUMMYFUNCTION("""COMPUTED_VALUE"""),"MAN-B&amp;W")</f>
        <v>MAN-B&amp;W</v>
      </c>
      <c r="K13" s="8" t="str">
        <f ca="1">IFERROR(__xludf.DUMMYFUNCTION("""COMPUTED_VALUE"""),"-")</f>
        <v>-</v>
      </c>
      <c r="L13" s="8" t="str">
        <f ca="1">IFERROR(__xludf.DUMMYFUNCTION("""COMPUTED_VALUE"""),"Scrubber fitted")</f>
        <v>Scrubber fitted</v>
      </c>
      <c r="M13" s="8" t="str">
        <f ca="1">IFERROR(__xludf.DUMMYFUNCTION("""COMPUTED_VALUE"""),"LR 8/29D")</f>
        <v>LR 8/29D</v>
      </c>
      <c r="N13" s="8" t="str">
        <f ca="1">IFERROR(__xludf.DUMMYFUNCTION("""COMPUTED_VALUE"""),"S.Africa")</f>
        <v>S.Africa</v>
      </c>
      <c r="O13" s="8" t="str">
        <f ca="1">IFERROR(__xludf.DUMMYFUNCTION("""COMPUTED_VALUE"""),"100-95.0 m")</f>
        <v>100-95.0 m</v>
      </c>
    </row>
    <row r="14" spans="1:15" x14ac:dyDescent="0.25">
      <c r="A14" s="8" t="str">
        <f ca="1">IFERROR(__xludf.DUMMYFUNCTION("""COMPUTED_VALUE"""),"TA 307284/07A")</f>
        <v>TA 307284/07A</v>
      </c>
      <c r="B14" s="8" t="str">
        <f ca="1">IFERROR(__xludf.DUMMYFUNCTION("""COMPUTED_VALUE"""),"VLCC")</f>
        <v>VLCC</v>
      </c>
      <c r="C14" s="9">
        <f ca="1">IFERROR(__xludf.DUMMYFUNCTION("""COMPUTED_VALUE"""),307284)</f>
        <v>307284</v>
      </c>
      <c r="D14" s="8" t="str">
        <f ca="1">IFERROR(__xludf.DUMMYFUNCTION("""COMPUTED_VALUE"""),"2007-China")</f>
        <v>2007-China</v>
      </c>
      <c r="E14" s="8" t="str">
        <f ca="1">IFERROR(__xludf.DUMMYFUNCTION("""COMPUTED_VALUE"""),"332.9 X 58.0")</f>
        <v>332.9 X 58.0</v>
      </c>
      <c r="F14" s="8">
        <f ca="1">IFERROR(__xludf.DUMMYFUNCTION("""COMPUTED_VALUE"""),17)</f>
        <v>17</v>
      </c>
      <c r="G14" s="8">
        <f ca="1">IFERROR(__xludf.DUMMYFUNCTION("""COMPUTED_VALUE"""),334616)</f>
        <v>334616</v>
      </c>
      <c r="H14" s="8" t="str">
        <f ca="1">IFERROR(__xludf.DUMMYFUNCTION("""COMPUTED_VALUE"""),"N/N")</f>
        <v>N/N</v>
      </c>
      <c r="I14" s="8" t="str">
        <f ca="1">IFERROR(__xludf.DUMMYFUNCTION("""COMPUTED_VALUE"""),"3 x 5500")</f>
        <v>3 x 5500</v>
      </c>
      <c r="J14" s="8" t="str">
        <f ca="1">IFERROR(__xludf.DUMMYFUNCTION("""COMPUTED_VALUE"""),"Wartsila")</f>
        <v>Wartsila</v>
      </c>
      <c r="K14" s="8" t="str">
        <f ca="1">IFERROR(__xludf.DUMMYFUNCTION("""COMPUTED_VALUE"""),"-")</f>
        <v>-</v>
      </c>
      <c r="L14" s="8" t="str">
        <f ca="1">IFERROR(__xludf.DUMMYFUNCTION("""COMPUTED_VALUE"""),"To be chkd")</f>
        <v>To be chkd</v>
      </c>
      <c r="M14" s="8" t="str">
        <f ca="1">IFERROR(__xludf.DUMMYFUNCTION("""COMPUTED_VALUE"""),"KR 10/27D")</f>
        <v>KR 10/27D</v>
      </c>
      <c r="N14" s="8" t="str">
        <f ca="1">IFERROR(__xludf.DUMMYFUNCTION("""COMPUTED_VALUE"""),"Singapore")</f>
        <v>Singapore</v>
      </c>
      <c r="O14" s="8" t="str">
        <f ca="1">IFERROR(__xludf.DUMMYFUNCTION("""COMPUTED_VALUE"""),"45-44.0 m")</f>
        <v>45-44.0 m</v>
      </c>
    </row>
    <row r="15" spans="1:15" x14ac:dyDescent="0.25">
      <c r="A15" s="8" t="str">
        <f ca="1">IFERROR(__xludf.DUMMYFUNCTION("""COMPUTED_VALUE"""),"TA 307284/07B")</f>
        <v>TA 307284/07B</v>
      </c>
      <c r="B15" s="8" t="str">
        <f ca="1">IFERROR(__xludf.DUMMYFUNCTION("""COMPUTED_VALUE"""),"VLCC")</f>
        <v>VLCC</v>
      </c>
      <c r="C15" s="9">
        <f ca="1">IFERROR(__xludf.DUMMYFUNCTION("""COMPUTED_VALUE"""),307284)</f>
        <v>307284</v>
      </c>
      <c r="D15" s="8" t="str">
        <f ca="1">IFERROR(__xludf.DUMMYFUNCTION("""COMPUTED_VALUE"""),"2007-China")</f>
        <v>2007-China</v>
      </c>
      <c r="E15" s="8" t="str">
        <f ca="1">IFERROR(__xludf.DUMMYFUNCTION("""COMPUTED_VALUE"""),"332.9 x 58.00")</f>
        <v>332.9 x 58.00</v>
      </c>
      <c r="F15" s="8">
        <f ca="1">IFERROR(__xludf.DUMMYFUNCTION("""COMPUTED_VALUE"""),17)</f>
        <v>17</v>
      </c>
      <c r="G15" s="8">
        <f ca="1">IFERROR(__xludf.DUMMYFUNCTION("""COMPUTED_VALUE"""),334615)</f>
        <v>334615</v>
      </c>
      <c r="H15" s="8" t="str">
        <f ca="1">IFERROR(__xludf.DUMMYFUNCTION("""COMPUTED_VALUE"""),"N/N")</f>
        <v>N/N</v>
      </c>
      <c r="I15" s="8" t="str">
        <f ca="1">IFERROR(__xludf.DUMMYFUNCTION("""COMPUTED_VALUE"""),"3 x 5500")</f>
        <v>3 x 5500</v>
      </c>
      <c r="J15" s="8" t="str">
        <f ca="1">IFERROR(__xludf.DUMMYFUNCTION("""COMPUTED_VALUE"""),"Wartsila")</f>
        <v>Wartsila</v>
      </c>
      <c r="K15" s="8" t="str">
        <f ca="1">IFERROR(__xludf.DUMMYFUNCTION("""COMPUTED_VALUE"""),"-")</f>
        <v>-</v>
      </c>
      <c r="L15" s="8" t="str">
        <f ca="1">IFERROR(__xludf.DUMMYFUNCTION("""COMPUTED_VALUE"""),"To be chkd")</f>
        <v>To be chkd</v>
      </c>
      <c r="M15" s="8" t="str">
        <f ca="1">IFERROR(__xludf.DUMMYFUNCTION("""COMPUTED_VALUE"""),"KR 7/27D")</f>
        <v>KR 7/27D</v>
      </c>
      <c r="N15" s="8" t="str">
        <f ca="1">IFERROR(__xludf.DUMMYFUNCTION("""COMPUTED_VALUE"""),"sold for")</f>
        <v>sold for</v>
      </c>
      <c r="O15" s="8" t="str">
        <f ca="1">IFERROR(__xludf.DUMMYFUNCTION("""COMPUTED_VALUE"""),"&lt;45.0 m")</f>
        <v>&lt;45.0 m</v>
      </c>
    </row>
    <row r="16" spans="1:15" x14ac:dyDescent="0.25">
      <c r="A16" s="8" t="str">
        <f ca="1">IFERROR(__xludf.DUMMYFUNCTION("""COMPUTED_VALUE"""),"TA 306506/07")</f>
        <v>TA 306506/07</v>
      </c>
      <c r="B16" s="8" t="str">
        <f ca="1">IFERROR(__xludf.DUMMYFUNCTION("""COMPUTED_VALUE"""),"VLCC")</f>
        <v>VLCC</v>
      </c>
      <c r="C16" s="9">
        <f ca="1">IFERROR(__xludf.DUMMYFUNCTION("""COMPUTED_VALUE"""),306506)</f>
        <v>306506</v>
      </c>
      <c r="D16" s="8" t="str">
        <f ca="1">IFERROR(__xludf.DUMMYFUNCTION("""COMPUTED_VALUE"""),"2007-Korea")</f>
        <v>2007-Korea</v>
      </c>
      <c r="E16" s="8" t="str">
        <f ca="1">IFERROR(__xludf.DUMMYFUNCTION("""COMPUTED_VALUE"""),"332.0 x 58.0")</f>
        <v>332.0 x 58.0</v>
      </c>
      <c r="F16" s="8">
        <f ca="1">IFERROR(__xludf.DUMMYFUNCTION("""COMPUTED_VALUE"""),17)</f>
        <v>17</v>
      </c>
      <c r="G16" s="8">
        <f ca="1">IFERROR(__xludf.DUMMYFUNCTION("""COMPUTED_VALUE"""),340268)</f>
        <v>340268</v>
      </c>
      <c r="H16" s="8" t="str">
        <f ca="1">IFERROR(__xludf.DUMMYFUNCTION("""COMPUTED_VALUE"""),"N/Y Epoxy")</f>
        <v>N/Y Epoxy</v>
      </c>
      <c r="I16" s="8" t="str">
        <f ca="1">IFERROR(__xludf.DUMMYFUNCTION("""COMPUTED_VALUE"""),"3 x 5000")</f>
        <v>3 x 5000</v>
      </c>
      <c r="J16" s="8" t="str">
        <f ca="1">IFERROR(__xludf.DUMMYFUNCTION("""COMPUTED_VALUE"""),"Sulzer")</f>
        <v>Sulzer</v>
      </c>
      <c r="K16" s="8" t="str">
        <f ca="1">IFERROR(__xludf.DUMMYFUNCTION("""COMPUTED_VALUE"""),"15.2k/98.2t")</f>
        <v>15.2k/98.2t</v>
      </c>
      <c r="L16" s="8" t="str">
        <f ca="1">IFERROR(__xludf.DUMMYFUNCTION("""COMPUTED_VALUE"""),"Fitted")</f>
        <v>Fitted</v>
      </c>
      <c r="M16" s="8" t="str">
        <f ca="1">IFERROR(__xludf.DUMMYFUNCTION("""COMPUTED_VALUE"""),"NV 2/27D")</f>
        <v>NV 2/27D</v>
      </c>
      <c r="N16" s="8" t="str">
        <f ca="1">IFERROR(__xludf.DUMMYFUNCTION("""COMPUTED_VALUE"""),"AG in DD July.25")</f>
        <v>AG in DD July.25</v>
      </c>
      <c r="O16" s="8" t="str">
        <f ca="1">IFERROR(__xludf.DUMMYFUNCTION("""COMPUTED_VALUE"""),"49-47 m")</f>
        <v>49-47 m</v>
      </c>
    </row>
    <row r="17" spans="1:15" x14ac:dyDescent="0.25">
      <c r="A17" s="8" t="str">
        <f ca="1">IFERROR(__xludf.DUMMYFUNCTION("""COMPUTED_VALUE"""),"TA 306206/04")</f>
        <v>TA 306206/04</v>
      </c>
      <c r="B17" s="8" t="str">
        <f ca="1">IFERROR(__xludf.DUMMYFUNCTION("""COMPUTED_VALUE"""),"VLCC")</f>
        <v>VLCC</v>
      </c>
      <c r="C17" s="9">
        <f ca="1">IFERROR(__xludf.DUMMYFUNCTION("""COMPUTED_VALUE"""),306206)</f>
        <v>306206</v>
      </c>
      <c r="D17" s="8" t="str">
        <f ca="1">IFERROR(__xludf.DUMMYFUNCTION("""COMPUTED_VALUE"""),"2004-Japan")</f>
        <v>2004-Japan</v>
      </c>
      <c r="E17" s="8" t="str">
        <f ca="1">IFERROR(__xludf.DUMMYFUNCTION("""COMPUTED_VALUE"""),"333.0 x 60.0")</f>
        <v>333.0 x 60.0</v>
      </c>
      <c r="F17" s="8">
        <f ca="1">IFERROR(__xludf.DUMMYFUNCTION("""COMPUTED_VALUE"""),15)</f>
        <v>15</v>
      </c>
      <c r="G17" s="8">
        <f ca="1">IFERROR(__xludf.DUMMYFUNCTION("""COMPUTED_VALUE"""),334704)</f>
        <v>334704</v>
      </c>
      <c r="H17" s="8" t="str">
        <f ca="1">IFERROR(__xludf.DUMMYFUNCTION("""COMPUTED_VALUE"""),"N/N")</f>
        <v>N/N</v>
      </c>
      <c r="I17" s="8" t="str">
        <f ca="1">IFERROR(__xludf.DUMMYFUNCTION("""COMPUTED_VALUE"""),"3 x 5000")</f>
        <v>3 x 5000</v>
      </c>
      <c r="J17" s="8" t="str">
        <f ca="1">IFERROR(__xludf.DUMMYFUNCTION("""COMPUTED_VALUE"""),"Mitsubishi")</f>
        <v>Mitsubishi</v>
      </c>
      <c r="K17" s="8" t="str">
        <f ca="1">IFERROR(__xludf.DUMMYFUNCTION("""COMPUTED_VALUE"""),"14 k/82 t")</f>
        <v>14 k/82 t</v>
      </c>
      <c r="L17" s="8" t="str">
        <f ca="1">IFERROR(__xludf.DUMMYFUNCTION("""COMPUTED_VALUE"""),"Fitted")</f>
        <v>Fitted</v>
      </c>
      <c r="M17" s="8" t="str">
        <f ca="1">IFERROR(__xludf.DUMMYFUNCTION("""COMPUTED_VALUE"""),"Rina 1/27D")</f>
        <v>Rina 1/27D</v>
      </c>
      <c r="N17" s="8" t="str">
        <f ca="1">IFERROR(__xludf.DUMMYFUNCTION("""COMPUTED_VALUE"""),"Singapore")</f>
        <v>Singapore</v>
      </c>
      <c r="O17" s="8" t="str">
        <f ca="1">IFERROR(__xludf.DUMMYFUNCTION("""COMPUTED_VALUE"""),"B.offers")</f>
        <v>B.offers</v>
      </c>
    </row>
    <row r="18" spans="1:15" x14ac:dyDescent="0.25">
      <c r="A18" s="8" t="str">
        <f ca="1">IFERROR(__xludf.DUMMYFUNCTION("""COMPUTED_VALUE"""),"TA 305704/01")</f>
        <v>TA 305704/01</v>
      </c>
      <c r="B18" s="8" t="str">
        <f ca="1">IFERROR(__xludf.DUMMYFUNCTION("""COMPUTED_VALUE"""),"VLCC/FSO Oil Tank")</f>
        <v>VLCC/FSO Oil Tank</v>
      </c>
      <c r="C18" s="9">
        <f ca="1">IFERROR(__xludf.DUMMYFUNCTION("""COMPUTED_VALUE"""),305704)</f>
        <v>305704</v>
      </c>
      <c r="D18" s="8" t="str">
        <f ca="1">IFERROR(__xludf.DUMMYFUNCTION("""COMPUTED_VALUE"""),"2001-Korea")</f>
        <v>2001-Korea</v>
      </c>
      <c r="E18" s="8" t="str">
        <f ca="1">IFERROR(__xludf.DUMMYFUNCTION("""COMPUTED_VALUE"""),"332.0 x 58.0")</f>
        <v>332.0 x 58.0</v>
      </c>
      <c r="F18" s="8">
        <f ca="1">IFERROR(__xludf.DUMMYFUNCTION("""COMPUTED_VALUE"""),17)</f>
        <v>17</v>
      </c>
      <c r="G18" s="8">
        <f ca="1">IFERROR(__xludf.DUMMYFUNCTION("""COMPUTED_VALUE"""),330573)</f>
        <v>330573</v>
      </c>
      <c r="H18" s="8" t="str">
        <f ca="1">IFERROR(__xludf.DUMMYFUNCTION("""COMPUTED_VALUE"""),"N/?")</f>
        <v>N/?</v>
      </c>
      <c r="I18" s="8" t="str">
        <f ca="1">IFERROR(__xludf.DUMMYFUNCTION("""COMPUTED_VALUE"""),"3 x 5500")</f>
        <v>3 x 5500</v>
      </c>
      <c r="J18" s="8" t="str">
        <f ca="1">IFERROR(__xludf.DUMMYFUNCTION("""COMPUTED_VALUE"""),"B&amp;W")</f>
        <v>B&amp;W</v>
      </c>
      <c r="K18" s="8" t="str">
        <f ca="1">IFERROR(__xludf.DUMMYFUNCTION("""COMPUTED_VALUE"""),"15.3k/91t IFO")</f>
        <v>15.3k/91t IFO</v>
      </c>
      <c r="L18" s="8" t="str">
        <f ca="1">IFERROR(__xludf.DUMMYFUNCTION("""COMPUTED_VALUE"""),"To be chkd")</f>
        <v>To be chkd</v>
      </c>
      <c r="M18" s="8" t="str">
        <f ca="1">IFERROR(__xludf.DUMMYFUNCTION("""COMPUTED_VALUE"""),"LR 9/26D")</f>
        <v>LR 9/26D</v>
      </c>
      <c r="N18" s="8" t="str">
        <f ca="1">IFERROR(__xludf.DUMMYFUNCTION("""COMPUTED_VALUE"""),"Check")</f>
        <v>Check</v>
      </c>
      <c r="O18" s="8" t="str">
        <f ca="1">IFERROR(__xludf.DUMMYFUNCTION("""COMPUTED_VALUE"""),"B.offers")</f>
        <v>B.offers</v>
      </c>
    </row>
    <row r="19" spans="1:15" x14ac:dyDescent="0.25">
      <c r="A19" s="8" t="str">
        <f ca="1">IFERROR(__xludf.DUMMYFUNCTION("""COMPUTED_VALUE"""),"TA 299988/04")</f>
        <v>TA 299988/04</v>
      </c>
      <c r="B19" s="8" t="str">
        <f ca="1">IFERROR(__xludf.DUMMYFUNCTION("""COMPUTED_VALUE"""),"VLCC for TC only")</f>
        <v>VLCC for TC only</v>
      </c>
      <c r="C19" s="9">
        <f ca="1">IFERROR(__xludf.DUMMYFUNCTION("""COMPUTED_VALUE"""),299988)</f>
        <v>299988</v>
      </c>
      <c r="D19" s="8" t="str">
        <f ca="1">IFERROR(__xludf.DUMMYFUNCTION("""COMPUTED_VALUE"""),"2004-Japan")</f>
        <v>2004-Japan</v>
      </c>
      <c r="E19" s="8" t="str">
        <f ca="1">IFERROR(__xludf.DUMMYFUNCTION("""COMPUTED_VALUE"""),"332.9 X 60.0")</f>
        <v>332.9 X 60.0</v>
      </c>
      <c r="F19" s="8">
        <f ca="1">IFERROR(__xludf.DUMMYFUNCTION("""COMPUTED_VALUE"""),17)</f>
        <v>17</v>
      </c>
      <c r="G19" s="8">
        <f ca="1">IFERROR(__xludf.DUMMYFUNCTION("""COMPUTED_VALUE"""),333968)</f>
        <v>333968</v>
      </c>
      <c r="H19" s="8" t="str">
        <f ca="1">IFERROR(__xludf.DUMMYFUNCTION("""COMPUTED_VALUE"""),"N/N")</f>
        <v>N/N</v>
      </c>
      <c r="I19" s="8" t="str">
        <f ca="1">IFERROR(__xludf.DUMMYFUNCTION("""COMPUTED_VALUE"""),"3 X 5500")</f>
        <v>3 X 5500</v>
      </c>
      <c r="J19" s="8" t="str">
        <f ca="1">IFERROR(__xludf.DUMMYFUNCTION("""COMPUTED_VALUE"""),"B&amp;W")</f>
        <v>B&amp;W</v>
      </c>
      <c r="K19" s="8" t="str">
        <f ca="1">IFERROR(__xludf.DUMMYFUNCTION("""COMPUTED_VALUE"""),"13k/59t IFO")</f>
        <v>13k/59t IFO</v>
      </c>
      <c r="L19" s="8" t="str">
        <f ca="1">IFERROR(__xludf.DUMMYFUNCTION("""COMPUTED_VALUE"""),"To be chkd")</f>
        <v>To be chkd</v>
      </c>
      <c r="M19" s="8" t="str">
        <f ca="1">IFERROR(__xludf.DUMMYFUNCTION("""COMPUTED_VALUE"""),"-")</f>
        <v>-</v>
      </c>
      <c r="N19" s="10" t="str">
        <f ca="1">IFERROR(__xludf.DUMMYFUNCTION("""COMPUTED_VALUE"""),"SE.Asia")</f>
        <v>SE.Asia</v>
      </c>
      <c r="O19" s="8" t="str">
        <f ca="1">IFERROR(__xludf.DUMMYFUNCTION("""COMPUTED_VALUE"""),"TC only")</f>
        <v>TC only</v>
      </c>
    </row>
    <row r="20" spans="1:15" x14ac:dyDescent="0.25">
      <c r="A20" s="8" t="str">
        <f ca="1">IFERROR(__xludf.DUMMYFUNCTION("""COMPUTED_VALUE"""),"TA 302550/11")</f>
        <v>TA 302550/11</v>
      </c>
      <c r="B20" s="8" t="str">
        <f ca="1">IFERROR(__xludf.DUMMYFUNCTION("""COMPUTED_VALUE"""),"VLCC")</f>
        <v>VLCC</v>
      </c>
      <c r="C20" s="9">
        <f ca="1">IFERROR(__xludf.DUMMYFUNCTION("""COMPUTED_VALUE"""),302550)</f>
        <v>302550</v>
      </c>
      <c r="D20" s="8" t="str">
        <f ca="1">IFERROR(__xludf.DUMMYFUNCTION("""COMPUTED_VALUE"""),"2011-Japan")</f>
        <v>2011-Japan</v>
      </c>
      <c r="E20" s="8" t="str">
        <f ca="1">IFERROR(__xludf.DUMMYFUNCTION("""COMPUTED_VALUE"""),"333.0 x 60.0")</f>
        <v>333.0 x 60.0</v>
      </c>
      <c r="F20" s="8">
        <f ca="1">IFERROR(__xludf.DUMMYFUNCTION("""COMPUTED_VALUE"""),17)</f>
        <v>17</v>
      </c>
      <c r="G20" s="8">
        <f ca="1">IFERROR(__xludf.DUMMYFUNCTION("""COMPUTED_VALUE"""),334558)</f>
        <v>334558</v>
      </c>
      <c r="H20" s="8" t="str">
        <f ca="1">IFERROR(__xludf.DUMMYFUNCTION("""COMPUTED_VALUE"""),"N/N")</f>
        <v>N/N</v>
      </c>
      <c r="I20" s="8" t="str">
        <f ca="1">IFERROR(__xludf.DUMMYFUNCTION("""COMPUTED_VALUE"""),"3 x 5500")</f>
        <v>3 x 5500</v>
      </c>
      <c r="J20" s="8" t="str">
        <f ca="1">IFERROR(__xludf.DUMMYFUNCTION("""COMPUTED_VALUE"""),"MAN-B&amp;W")</f>
        <v>MAN-B&amp;W</v>
      </c>
      <c r="K20" s="8" t="str">
        <f ca="1">IFERROR(__xludf.DUMMYFUNCTION("""COMPUTED_VALUE"""),"13k/59t IFO")</f>
        <v>13k/59t IFO</v>
      </c>
      <c r="L20" s="8" t="str">
        <f ca="1">IFERROR(__xludf.DUMMYFUNCTION("""COMPUTED_VALUE"""),"To be chkd")</f>
        <v>To be chkd</v>
      </c>
      <c r="M20" s="8" t="str">
        <f ca="1">IFERROR(__xludf.DUMMYFUNCTION("""COMPUTED_VALUE"""),"NV 6/26D")</f>
        <v>NV 6/26D</v>
      </c>
      <c r="N20" s="8" t="str">
        <f ca="1">IFERROR(__xludf.DUMMYFUNCTION("""COMPUTED_VALUE"""),"Japan")</f>
        <v>Japan</v>
      </c>
      <c r="O20" s="8" t="str">
        <f ca="1">IFERROR(__xludf.DUMMYFUNCTION("""COMPUTED_VALUE"""),"57-55 m")</f>
        <v>57-55 m</v>
      </c>
    </row>
    <row r="21" spans="1:15" ht="15.75" customHeight="1" x14ac:dyDescent="0.25">
      <c r="A21" s="8" t="str">
        <f ca="1">IFERROR(__xludf.DUMMYFUNCTION("""COMPUTED_VALUE"""),"TA 301861/11")</f>
        <v>TA 301861/11</v>
      </c>
      <c r="B21" s="8" t="str">
        <f ca="1">IFERROR(__xludf.DUMMYFUNCTION("""COMPUTED_VALUE"""),"VLCC Offers til 29.Aug.25")</f>
        <v>VLCC Offers til 29.Aug.25</v>
      </c>
      <c r="C21" s="9">
        <f ca="1">IFERROR(__xludf.DUMMYFUNCTION("""COMPUTED_VALUE"""),301861)</f>
        <v>301861</v>
      </c>
      <c r="D21" s="8" t="str">
        <f ca="1">IFERROR(__xludf.DUMMYFUNCTION("""COMPUTED_VALUE"""),"2011-Japan")</f>
        <v>2011-Japan</v>
      </c>
      <c r="E21" s="8" t="str">
        <f ca="1">IFERROR(__xludf.DUMMYFUNCTION("""COMPUTED_VALUE"""),"333.0 X 60.00")</f>
        <v>333.0 X 60.00</v>
      </c>
      <c r="F21" s="8">
        <f ca="1">IFERROR(__xludf.DUMMYFUNCTION("""COMPUTED_VALUE"""),15)</f>
        <v>15</v>
      </c>
      <c r="G21" s="8">
        <f ca="1">IFERROR(__xludf.DUMMYFUNCTION("""COMPUTED_VALUE"""),330000)</f>
        <v>330000</v>
      </c>
      <c r="H21" s="8" t="str">
        <f ca="1">IFERROR(__xludf.DUMMYFUNCTION("""COMPUTED_VALUE"""),"N/N")</f>
        <v>N/N</v>
      </c>
      <c r="I21" s="8">
        <f ca="1">IFERROR(__xludf.DUMMYFUNCTION("""COMPUTED_VALUE"""),3)</f>
        <v>3</v>
      </c>
      <c r="J21" s="8" t="str">
        <f ca="1">IFERROR(__xludf.DUMMYFUNCTION("""COMPUTED_VALUE"""),"Wartsila")</f>
        <v>Wartsila</v>
      </c>
      <c r="K21" s="8" t="str">
        <f ca="1">IFERROR(__xludf.DUMMYFUNCTION("""COMPUTED_VALUE"""),"-")</f>
        <v>-</v>
      </c>
      <c r="L21" s="8" t="str">
        <f ca="1">IFERROR(__xludf.DUMMYFUNCTION("""COMPUTED_VALUE"""),"Scrubber fitted")</f>
        <v>Scrubber fitted</v>
      </c>
      <c r="M21" s="8" t="str">
        <f ca="1">IFERROR(__xludf.DUMMYFUNCTION("""COMPUTED_VALUE"""),"AB 2/26")</f>
        <v>AB 2/26</v>
      </c>
      <c r="N21" s="8" t="str">
        <f ca="1">IFERROR(__xludf.DUMMYFUNCTION("""COMPUTED_VALUE"""),"Check")</f>
        <v>Check</v>
      </c>
      <c r="O21" s="8" t="str">
        <f ca="1">IFERROR(__xludf.DUMMYFUNCTION("""COMPUTED_VALUE"""),"62-60.0 m")</f>
        <v>62-60.0 m</v>
      </c>
    </row>
    <row r="22" spans="1:15" ht="15.75" customHeight="1" x14ac:dyDescent="0.25">
      <c r="A22" s="8" t="str">
        <f ca="1">IFERROR(__xludf.DUMMYFUNCTION("""COMPUTED_VALUE"""),"TA 300325/07")</f>
        <v>TA 300325/07</v>
      </c>
      <c r="B22" s="8" t="str">
        <f ca="1">IFERROR(__xludf.DUMMYFUNCTION("""COMPUTED_VALUE"""),"VLCC")</f>
        <v>VLCC</v>
      </c>
      <c r="C22" s="9">
        <f ca="1">IFERROR(__xludf.DUMMYFUNCTION("""COMPUTED_VALUE"""),300325)</f>
        <v>300325</v>
      </c>
      <c r="D22" s="8" t="str">
        <f ca="1">IFERROR(__xludf.DUMMYFUNCTION("""COMPUTED_VALUE"""),"2007-Japan")</f>
        <v>2007-Japan</v>
      </c>
      <c r="E22" s="8" t="str">
        <f ca="1">IFERROR(__xludf.DUMMYFUNCTION("""COMPUTED_VALUE"""),"329.9 x 60.0")</f>
        <v>329.9 x 60.0</v>
      </c>
      <c r="F22" s="8">
        <f ca="1">IFERROR(__xludf.DUMMYFUNCTION("""COMPUTED_VALUE"""),17)</f>
        <v>17</v>
      </c>
      <c r="G22" s="8">
        <f ca="1">IFERROR(__xludf.DUMMYFUNCTION("""COMPUTED_VALUE"""),324710)</f>
        <v>324710</v>
      </c>
      <c r="H22" s="8" t="str">
        <f ca="1">IFERROR(__xludf.DUMMYFUNCTION("""COMPUTED_VALUE"""),"N/Yk Tar Epoxy")</f>
        <v>N/Yk Tar Epoxy</v>
      </c>
      <c r="I22" s="8" t="str">
        <f ca="1">IFERROR(__xludf.DUMMYFUNCTION("""COMPUTED_VALUE"""),"3 x 5500")</f>
        <v>3 x 5500</v>
      </c>
      <c r="J22" s="8" t="str">
        <f ca="1">IFERROR(__xludf.DUMMYFUNCTION("""COMPUTED_VALUE"""),"MAN-B&amp;W")</f>
        <v>MAN-B&amp;W</v>
      </c>
      <c r="K22" s="8" t="str">
        <f ca="1">IFERROR(__xludf.DUMMYFUNCTION("""COMPUTED_VALUE"""),"12.8k/64.3t")</f>
        <v>12.8k/64.3t</v>
      </c>
      <c r="L22" s="8" t="str">
        <f ca="1">IFERROR(__xludf.DUMMYFUNCTION("""COMPUTED_VALUE"""),"Fitted")</f>
        <v>Fitted</v>
      </c>
      <c r="M22" s="8" t="str">
        <f ca="1">IFERROR(__xludf.DUMMYFUNCTION("""COMPUTED_VALUE"""),"BV 4/27D")</f>
        <v>BV 4/27D</v>
      </c>
      <c r="N22" s="8" t="str">
        <f ca="1">IFERROR(__xludf.DUMMYFUNCTION("""COMPUTED_VALUE"""),"Singapore")</f>
        <v>Singapore</v>
      </c>
      <c r="O22" s="8" t="str">
        <f ca="1">IFERROR(__xludf.DUMMYFUNCTION("""COMPUTED_VALUE"""),"B.offers")</f>
        <v>B.offers</v>
      </c>
    </row>
    <row r="23" spans="1:15" ht="15.75" customHeight="1" x14ac:dyDescent="0.25">
      <c r="A23" s="8" t="str">
        <f ca="1">IFERROR(__xludf.DUMMYFUNCTION("""COMPUTED_VALUE"""),"TA 300246/07")</f>
        <v>TA 300246/07</v>
      </c>
      <c r="B23" s="8" t="str">
        <f ca="1">IFERROR(__xludf.DUMMYFUNCTION("""COMPUTED_VALUE"""),"VLCC")</f>
        <v>VLCC</v>
      </c>
      <c r="C23" s="9">
        <f ca="1">IFERROR(__xludf.DUMMYFUNCTION("""COMPUTED_VALUE"""),300246)</f>
        <v>300246</v>
      </c>
      <c r="D23" s="8" t="str">
        <f ca="1">IFERROR(__xludf.DUMMYFUNCTION("""COMPUTED_VALUE"""),"2007-Japan")</f>
        <v>2007-Japan</v>
      </c>
      <c r="E23" s="8" t="str">
        <f ca="1">IFERROR(__xludf.DUMMYFUNCTION("""COMPUTED_VALUE"""),"329.9 X 60.00")</f>
        <v>329.9 X 60.00</v>
      </c>
      <c r="F23" s="8">
        <f ca="1">IFERROR(__xludf.DUMMYFUNCTION("""COMPUTED_VALUE"""),17)</f>
        <v>17</v>
      </c>
      <c r="G23" s="8">
        <f ca="1">IFERROR(__xludf.DUMMYFUNCTION("""COMPUTED_VALUE"""),324710)</f>
        <v>324710</v>
      </c>
      <c r="H23" s="8" t="str">
        <f ca="1">IFERROR(__xludf.DUMMYFUNCTION("""COMPUTED_VALUE"""),"N/N")</f>
        <v>N/N</v>
      </c>
      <c r="I23" s="8" t="str">
        <f ca="1">IFERROR(__xludf.DUMMYFUNCTION("""COMPUTED_VALUE"""),"3 X 5500")</f>
        <v>3 X 5500</v>
      </c>
      <c r="J23" s="8" t="str">
        <f ca="1">IFERROR(__xludf.DUMMYFUNCTION("""COMPUTED_VALUE"""),"MAN-B&amp;W")</f>
        <v>MAN-B&amp;W</v>
      </c>
      <c r="K23" s="8" t="str">
        <f ca="1">IFERROR(__xludf.DUMMYFUNCTION("""COMPUTED_VALUE"""),"13K/75.9t IFO")</f>
        <v>13K/75.9t IFO</v>
      </c>
      <c r="L23" s="8" t="str">
        <f ca="1">IFERROR(__xludf.DUMMYFUNCTION("""COMPUTED_VALUE"""),"Scrubber")</f>
        <v>Scrubber</v>
      </c>
      <c r="M23" s="8" t="str">
        <f ca="1">IFERROR(__xludf.DUMMYFUNCTION("""COMPUTED_VALUE"""),"AB 9/27D")</f>
        <v>AB 9/27D</v>
      </c>
      <c r="N23" s="8" t="str">
        <f ca="1">IFERROR(__xludf.DUMMYFUNCTION("""COMPUTED_VALUE"""),"Fujairah")</f>
        <v>Fujairah</v>
      </c>
      <c r="O23" s="8" t="str">
        <f ca="1">IFERROR(__xludf.DUMMYFUNCTION("""COMPUTED_VALUE"""),"B.offers")</f>
        <v>B.offers</v>
      </c>
    </row>
    <row r="24" spans="1:15" ht="15.75" customHeight="1" x14ac:dyDescent="0.25">
      <c r="A24" s="8" t="str">
        <f ca="1">IFERROR(__xludf.DUMMYFUNCTION("""COMPUTED_VALUE"""),"TA 299992/03")</f>
        <v>TA 299992/03</v>
      </c>
      <c r="B24" s="8" t="str">
        <f ca="1">IFERROR(__xludf.DUMMYFUNCTION("""COMPUTED_VALUE"""),"VLCC")</f>
        <v>VLCC</v>
      </c>
      <c r="C24" s="9">
        <f ca="1">IFERROR(__xludf.DUMMYFUNCTION("""COMPUTED_VALUE"""),299992)</f>
        <v>299992</v>
      </c>
      <c r="D24" s="8" t="str">
        <f ca="1">IFERROR(__xludf.DUMMYFUNCTION("""COMPUTED_VALUE"""),"2003-Japan")</f>
        <v>2003-Japan</v>
      </c>
      <c r="E24" s="8" t="str">
        <f ca="1">IFERROR(__xludf.DUMMYFUNCTION("""COMPUTED_VALUE"""),"333.0 x 60.0")</f>
        <v>333.0 x 60.0</v>
      </c>
      <c r="F24" s="8">
        <f ca="1">IFERROR(__xludf.DUMMYFUNCTION("""COMPUTED_VALUE"""),15)</f>
        <v>15</v>
      </c>
      <c r="G24" s="8">
        <f ca="1">IFERROR(__xludf.DUMMYFUNCTION("""COMPUTED_VALUE"""),334228)</f>
        <v>334228</v>
      </c>
      <c r="H24" s="8" t="str">
        <f ca="1">IFERROR(__xludf.DUMMYFUNCTION("""COMPUTED_VALUE"""),"Y/N")</f>
        <v>Y/N</v>
      </c>
      <c r="I24" s="8" t="str">
        <f ca="1">IFERROR(__xludf.DUMMYFUNCTION("""COMPUTED_VALUE"""),"3 x 5000")</f>
        <v>3 x 5000</v>
      </c>
      <c r="J24" s="8" t="str">
        <f ca="1">IFERROR(__xludf.DUMMYFUNCTION("""COMPUTED_VALUE"""),"Sulzer")</f>
        <v>Sulzer</v>
      </c>
      <c r="K24" s="8" t="str">
        <f ca="1">IFERROR(__xludf.DUMMYFUNCTION("""COMPUTED_VALUE"""),"15.6k/92t FO")</f>
        <v>15.6k/92t FO</v>
      </c>
      <c r="L24" s="8" t="str">
        <f ca="1">IFERROR(__xludf.DUMMYFUNCTION("""COMPUTED_VALUE"""),"To be chkd")</f>
        <v>To be chkd</v>
      </c>
      <c r="M24" s="8" t="str">
        <f ca="1">IFERROR(__xludf.DUMMYFUNCTION("""COMPUTED_VALUE"""),"NK 11/26D")</f>
        <v>NK 11/26D</v>
      </c>
      <c r="N24" s="8" t="str">
        <f ca="1">IFERROR(__xludf.DUMMYFUNCTION("""COMPUTED_VALUE"""),"PG")</f>
        <v>PG</v>
      </c>
      <c r="O24" s="8" t="str">
        <f ca="1">IFERROR(__xludf.DUMMYFUNCTION("""COMPUTED_VALUE"""),"33-31.5 m")</f>
        <v>33-31.5 m</v>
      </c>
    </row>
    <row r="25" spans="1:15" ht="15.75" customHeight="1" x14ac:dyDescent="0.25">
      <c r="A25" s="8" t="str">
        <f ca="1">IFERROR(__xludf.DUMMYFUNCTION("""COMPUTED_VALUE"""),"TA 299985/03")</f>
        <v>TA 299985/03</v>
      </c>
      <c r="B25" s="8" t="str">
        <f ca="1">IFERROR(__xludf.DUMMYFUNCTION("""COMPUTED_VALUE"""),"VLCC")</f>
        <v>VLCC</v>
      </c>
      <c r="C25" s="9">
        <f ca="1">IFERROR(__xludf.DUMMYFUNCTION("""COMPUTED_VALUE"""),299985)</f>
        <v>299985</v>
      </c>
      <c r="D25" s="8" t="str">
        <f ca="1">IFERROR(__xludf.DUMMYFUNCTION("""COMPUTED_VALUE"""),"2003-Japan")</f>
        <v>2003-Japan</v>
      </c>
      <c r="E25" s="8" t="str">
        <f ca="1">IFERROR(__xludf.DUMMYFUNCTION("""COMPUTED_VALUE"""),"332.9 X 60.0")</f>
        <v>332.9 X 60.0</v>
      </c>
      <c r="F25" s="8">
        <f ca="1">IFERROR(__xludf.DUMMYFUNCTION("""COMPUTED_VALUE"""),17)</f>
        <v>17</v>
      </c>
      <c r="G25" s="8">
        <f ca="1">IFERROR(__xludf.DUMMYFUNCTION("""COMPUTED_VALUE"""),343344)</f>
        <v>343344</v>
      </c>
      <c r="H25" s="8" t="str">
        <f ca="1">IFERROR(__xludf.DUMMYFUNCTION("""COMPUTED_VALUE"""),"?/?")</f>
        <v>?/?</v>
      </c>
      <c r="I25" s="8" t="str">
        <f ca="1">IFERROR(__xludf.DUMMYFUNCTION("""COMPUTED_VALUE"""),"3 X 5000")</f>
        <v>3 X 5000</v>
      </c>
      <c r="J25" s="8" t="str">
        <f ca="1">IFERROR(__xludf.DUMMYFUNCTION("""COMPUTED_VALUE"""),"MAN-B&amp;W")</f>
        <v>MAN-B&amp;W</v>
      </c>
      <c r="K25" s="8" t="str">
        <f ca="1">IFERROR(__xludf.DUMMYFUNCTION("""COMPUTED_VALUE"""),"-")</f>
        <v>-</v>
      </c>
      <c r="L25" s="8" t="str">
        <f ca="1">IFERROR(__xludf.DUMMYFUNCTION("""COMPUTED_VALUE"""),"Fitted")</f>
        <v>Fitted</v>
      </c>
      <c r="M25" s="8" t="str">
        <f ca="1">IFERROR(__xludf.DUMMYFUNCTION("""COMPUTED_VALUE"""),"BV  1/27D")</f>
        <v>BV  1/27D</v>
      </c>
      <c r="N25" s="8" t="str">
        <f ca="1">IFERROR(__xludf.DUMMYFUNCTION("""COMPUTED_VALUE"""),"Check")</f>
        <v>Check</v>
      </c>
      <c r="O25" s="8" t="str">
        <f ca="1">IFERROR(__xludf.DUMMYFUNCTION("""COMPUTED_VALUE"""),"B.offers")</f>
        <v>B.offers</v>
      </c>
    </row>
    <row r="26" spans="1:15" ht="15.75" customHeight="1" x14ac:dyDescent="0.25">
      <c r="A26" s="8" t="str">
        <f ca="1">IFERROR(__xludf.DUMMYFUNCTION("""COMPUTED_VALUE"""),"TA 299543/00")</f>
        <v>TA 299543/00</v>
      </c>
      <c r="B26" s="8" t="str">
        <f ca="1">IFERROR(__xludf.DUMMYFUNCTION("""COMPUTED_VALUE"""),"VLCC")</f>
        <v>VLCC</v>
      </c>
      <c r="C26" s="9">
        <f ca="1">IFERROR(__xludf.DUMMYFUNCTION("""COMPUTED_VALUE"""),299543)</f>
        <v>299543</v>
      </c>
      <c r="D26" s="8" t="str">
        <f ca="1">IFERROR(__xludf.DUMMYFUNCTION("""COMPUTED_VALUE"""),"2000-Korea")</f>
        <v>2000-Korea</v>
      </c>
      <c r="E26" s="8" t="str">
        <f ca="1">IFERROR(__xludf.DUMMYFUNCTION("""COMPUTED_VALUE"""),"332.0 x 58.0")</f>
        <v>332.0 x 58.0</v>
      </c>
      <c r="F26" s="8">
        <f ca="1">IFERROR(__xludf.DUMMYFUNCTION("""COMPUTED_VALUE"""),17)</f>
        <v>17</v>
      </c>
      <c r="G26" s="8">
        <f ca="1">IFERROR(__xludf.DUMMYFUNCTION("""COMPUTED_VALUE"""),330573)</f>
        <v>330573</v>
      </c>
      <c r="H26" s="8" t="str">
        <f ca="1">IFERROR(__xludf.DUMMYFUNCTION("""COMPUTED_VALUE"""),"N/N")</f>
        <v>N/N</v>
      </c>
      <c r="I26" s="8" t="str">
        <f ca="1">IFERROR(__xludf.DUMMYFUNCTION("""COMPUTED_VALUE"""),"3 x 5000")</f>
        <v>3 x 5000</v>
      </c>
      <c r="J26" s="8" t="str">
        <f ca="1">IFERROR(__xludf.DUMMYFUNCTION("""COMPUTED_VALUE"""),"MAN-B&amp;W")</f>
        <v>MAN-B&amp;W</v>
      </c>
      <c r="K26" s="8" t="str">
        <f ca="1">IFERROR(__xludf.DUMMYFUNCTION("""COMPUTED_VALUE"""),"15.3k/93t IFO")</f>
        <v>15.3k/93t IFO</v>
      </c>
      <c r="L26" s="8" t="str">
        <f ca="1">IFERROR(__xludf.DUMMYFUNCTION("""COMPUTED_VALUE"""),"To be chkd")</f>
        <v>To be chkd</v>
      </c>
      <c r="M26" s="8" t="str">
        <f ca="1">IFERROR(__xludf.DUMMYFUNCTION("""COMPUTED_VALUE"""),"2.25 Overdue")</f>
        <v>2.25 Overdue</v>
      </c>
      <c r="N26" s="8" t="str">
        <f ca="1">IFERROR(__xludf.DUMMYFUNCTION("""COMPUTED_VALUE"""),"Port Said")</f>
        <v>Port Said</v>
      </c>
      <c r="O26" s="8" t="str">
        <f ca="1">IFERROR(__xludf.DUMMYFUNCTION("""COMPUTED_VALUE"""),"21-20.0 m")</f>
        <v>21-20.0 m</v>
      </c>
    </row>
    <row r="27" spans="1:15" ht="15.75" customHeight="1" x14ac:dyDescent="0.25">
      <c r="A27" s="8" t="str">
        <f ca="1">IFERROR(__xludf.DUMMYFUNCTION("""COMPUTED_VALUE"""),"TA 299127/98")</f>
        <v>TA 299127/98</v>
      </c>
      <c r="B27" s="8" t="str">
        <f ca="1">IFERROR(__xludf.DUMMYFUNCTION("""COMPUTED_VALUE"""),"VLCC/FSO Oil Tank")</f>
        <v>VLCC/FSO Oil Tank</v>
      </c>
      <c r="C27" s="9">
        <f ca="1">IFERROR(__xludf.DUMMYFUNCTION("""COMPUTED_VALUE"""),299127)</f>
        <v>299127</v>
      </c>
      <c r="D27" s="8" t="str">
        <f ca="1">IFERROR(__xludf.DUMMYFUNCTION("""COMPUTED_VALUE"""),"1998-Korea")</f>
        <v>1998-Korea</v>
      </c>
      <c r="E27" s="8" t="str">
        <f ca="1">IFERROR(__xludf.DUMMYFUNCTION("""COMPUTED_VALUE"""),"332.0 x 58.0")</f>
        <v>332.0 x 58.0</v>
      </c>
      <c r="F27" s="8">
        <f ca="1">IFERROR(__xludf.DUMMYFUNCTION("""COMPUTED_VALUE"""),17)</f>
        <v>17</v>
      </c>
      <c r="G27" s="8">
        <f ca="1">IFERROR(__xludf.DUMMYFUNCTION("""COMPUTED_VALUE"""),331299)</f>
        <v>331299</v>
      </c>
      <c r="H27" s="8" t="str">
        <f ca="1">IFERROR(__xludf.DUMMYFUNCTION("""COMPUTED_VALUE"""),"N/Y Epoxy")</f>
        <v>N/Y Epoxy</v>
      </c>
      <c r="I27" s="8" t="str">
        <f ca="1">IFERROR(__xludf.DUMMYFUNCTION("""COMPUTED_VALUE"""),"3 x 5000")</f>
        <v>3 x 5000</v>
      </c>
      <c r="J27" s="8" t="str">
        <f ca="1">IFERROR(__xludf.DUMMYFUNCTION("""COMPUTED_VALUE"""),"Sulzer")</f>
        <v>Sulzer</v>
      </c>
      <c r="K27" s="8" t="str">
        <f ca="1">IFERROR(__xludf.DUMMYFUNCTION("""COMPUTED_VALUE"""),"10.3k/93t IFO")</f>
        <v>10.3k/93t IFO</v>
      </c>
      <c r="L27" s="8" t="str">
        <f ca="1">IFERROR(__xludf.DUMMYFUNCTION("""COMPUTED_VALUE"""),"To be chkd")</f>
        <v>To be chkd</v>
      </c>
      <c r="M27" s="8" t="str">
        <f ca="1">IFERROR(__xludf.DUMMYFUNCTION("""COMPUTED_VALUE"""),"BV 7.23 Overdue")</f>
        <v>BV 7.23 Overdue</v>
      </c>
      <c r="N27" s="8" t="str">
        <f ca="1">IFERROR(__xludf.DUMMYFUNCTION("""COMPUTED_VALUE"""),"Nigeria")</f>
        <v>Nigeria</v>
      </c>
      <c r="O27" s="8" t="str">
        <f ca="1">IFERROR(__xludf.DUMMYFUNCTION("""COMPUTED_VALUE"""),"22-21.0 m")</f>
        <v>22-21.0 m</v>
      </c>
    </row>
    <row r="28" spans="1:15" ht="15.75" customHeight="1" x14ac:dyDescent="0.25">
      <c r="A28" s="8" t="str">
        <f ca="1">IFERROR(__xludf.DUMMYFUNCTION("""COMPUTED_VALUE"""),"TA 298997/06")</f>
        <v>TA 298997/06</v>
      </c>
      <c r="B28" s="8" t="str">
        <f ca="1">IFERROR(__xludf.DUMMYFUNCTION("""COMPUTED_VALUE"""),"VLCC")</f>
        <v>VLCC</v>
      </c>
      <c r="C28" s="9">
        <f ca="1">IFERROR(__xludf.DUMMYFUNCTION("""COMPUTED_VALUE"""),298997)</f>
        <v>298997</v>
      </c>
      <c r="D28" s="8" t="str">
        <f ca="1">IFERROR(__xludf.DUMMYFUNCTION("""COMPUTED_VALUE"""),"2006-Japan")</f>
        <v>2006-Japan</v>
      </c>
      <c r="E28" s="8" t="str">
        <f ca="1">IFERROR(__xludf.DUMMYFUNCTION("""COMPUTED_VALUE"""),"332.9 x 60.0")</f>
        <v>332.9 x 60.0</v>
      </c>
      <c r="F28" s="8">
        <f ca="1">IFERROR(__xludf.DUMMYFUNCTION("""COMPUTED_VALUE"""),17)</f>
        <v>17</v>
      </c>
      <c r="G28" s="8">
        <f ca="1">IFERROR(__xludf.DUMMYFUNCTION("""COMPUTED_VALUE"""),324710)</f>
        <v>324710</v>
      </c>
      <c r="H28" s="8" t="str">
        <f ca="1">IFERROR(__xludf.DUMMYFUNCTION("""COMPUTED_VALUE"""),"N/N")</f>
        <v>N/N</v>
      </c>
      <c r="I28" s="8" t="str">
        <f ca="1">IFERROR(__xludf.DUMMYFUNCTION("""COMPUTED_VALUE"""),"3 x 5500")</f>
        <v>3 x 5500</v>
      </c>
      <c r="J28" s="8" t="str">
        <f ca="1">IFERROR(__xludf.DUMMYFUNCTION("""COMPUTED_VALUE"""),"B&amp;W")</f>
        <v>B&amp;W</v>
      </c>
      <c r="K28" s="8" t="str">
        <f ca="1">IFERROR(__xludf.DUMMYFUNCTION("""COMPUTED_VALUE"""),"13k/65t IFO")</f>
        <v>13k/65t IFO</v>
      </c>
      <c r="L28" s="8" t="str">
        <f ca="1">IFERROR(__xludf.DUMMYFUNCTION("""COMPUTED_VALUE"""),"To be chkd")</f>
        <v>To be chkd</v>
      </c>
      <c r="M28" s="8" t="str">
        <f ca="1">IFERROR(__xludf.DUMMYFUNCTION("""COMPUTED_VALUE"""),"AB 2/26D")</f>
        <v>AB 2/26D</v>
      </c>
      <c r="N28" s="8" t="str">
        <f ca="1">IFERROR(__xludf.DUMMYFUNCTION("""COMPUTED_VALUE"""),"China")</f>
        <v>China</v>
      </c>
      <c r="O28" s="8" t="str">
        <f ca="1">IFERROR(__xludf.DUMMYFUNCTION("""COMPUTED_VALUE"""),"B.offers")</f>
        <v>B.offers</v>
      </c>
    </row>
    <row r="29" spans="1:15" ht="15.75" customHeight="1" x14ac:dyDescent="0.25">
      <c r="A29" s="8" t="str">
        <f ca="1">IFERROR(__xludf.DUMMYFUNCTION("""COMPUTED_VALUE"""),"TA 298561/02")</f>
        <v>TA 298561/02</v>
      </c>
      <c r="B29" s="8" t="str">
        <f ca="1">IFERROR(__xludf.DUMMYFUNCTION("""COMPUTED_VALUE"""),"VLCC")</f>
        <v>VLCC</v>
      </c>
      <c r="C29" s="9">
        <f ca="1">IFERROR(__xludf.DUMMYFUNCTION("""COMPUTED_VALUE"""),298561)</f>
        <v>298561</v>
      </c>
      <c r="D29" s="8" t="str">
        <f ca="1">IFERROR(__xludf.DUMMYFUNCTION("""COMPUTED_VALUE"""),"2002-Japan")</f>
        <v>2002-Japan</v>
      </c>
      <c r="E29" s="8" t="str">
        <f ca="1">IFERROR(__xludf.DUMMYFUNCTION("""COMPUTED_VALUE"""),"332.9 X 60.0")</f>
        <v>332.9 X 60.0</v>
      </c>
      <c r="F29" s="8">
        <f ca="1">IFERROR(__xludf.DUMMYFUNCTION("""COMPUTED_VALUE"""),17)</f>
        <v>17</v>
      </c>
      <c r="G29" s="8">
        <f ca="1">IFERROR(__xludf.DUMMYFUNCTION("""COMPUTED_VALUE"""),331800)</f>
        <v>331800</v>
      </c>
      <c r="H29" s="8" t="str">
        <f ca="1">IFERROR(__xludf.DUMMYFUNCTION("""COMPUTED_VALUE"""),"Y/N")</f>
        <v>Y/N</v>
      </c>
      <c r="I29" s="8" t="str">
        <f ca="1">IFERROR(__xludf.DUMMYFUNCTION("""COMPUTED_VALUE"""),"3 X 5500")</f>
        <v>3 X 5500</v>
      </c>
      <c r="J29" s="8" t="str">
        <f ca="1">IFERROR(__xludf.DUMMYFUNCTION("""COMPUTED_VALUE"""),"B&amp;W")</f>
        <v>B&amp;W</v>
      </c>
      <c r="K29" s="8"/>
      <c r="L29" s="8" t="str">
        <f ca="1">IFERROR(__xludf.DUMMYFUNCTION("""COMPUTED_VALUE"""),"Fitted")</f>
        <v>Fitted</v>
      </c>
      <c r="M29" s="8" t="str">
        <f ca="1">IFERROR(__xludf.DUMMYFUNCTION("""COMPUTED_VALUE"""),"KR 2/27D")</f>
        <v>KR 2/27D</v>
      </c>
      <c r="N29" s="8" t="str">
        <f ca="1">IFERROR(__xludf.DUMMYFUNCTION("""COMPUTED_VALUE"""),"Singapore")</f>
        <v>Singapore</v>
      </c>
      <c r="O29" s="8" t="str">
        <f ca="1">IFERROR(__xludf.DUMMYFUNCTION("""COMPUTED_VALUE"""),"B.offers")</f>
        <v>B.offers</v>
      </c>
    </row>
    <row r="30" spans="1:15" ht="15.75" customHeight="1" x14ac:dyDescent="0.25">
      <c r="A30" s="8" t="str">
        <f ca="1">IFERROR(__xludf.DUMMYFUNCTION("""COMPUTED_VALUE"""),"TA 298078/08")</f>
        <v>TA 298078/08</v>
      </c>
      <c r="B30" s="8" t="str">
        <f ca="1">IFERROR(__xludf.DUMMYFUNCTION("""COMPUTED_VALUE"""),"VLCC")</f>
        <v>VLCC</v>
      </c>
      <c r="C30" s="9">
        <f ca="1">IFERROR(__xludf.DUMMYFUNCTION("""COMPUTED_VALUE"""),298078)</f>
        <v>298078</v>
      </c>
      <c r="D30" s="8" t="str">
        <f ca="1">IFERROR(__xludf.DUMMYFUNCTION("""COMPUTED_VALUE"""),"2008-Japan")</f>
        <v>2008-Japan</v>
      </c>
      <c r="E30" s="8" t="str">
        <f ca="1">IFERROR(__xludf.DUMMYFUNCTION("""COMPUTED_VALUE"""),"329.9 x 60.0")</f>
        <v>329.9 x 60.0</v>
      </c>
      <c r="F30" s="8" t="str">
        <f ca="1">IFERROR(__xludf.DUMMYFUNCTION("""COMPUTED_VALUE"""),"17")</f>
        <v>17</v>
      </c>
      <c r="G30" s="8">
        <f ca="1">IFERROR(__xludf.DUMMYFUNCTION("""COMPUTED_VALUE"""),324660)</f>
        <v>324660</v>
      </c>
      <c r="H30" s="8" t="str">
        <f ca="1">IFERROR(__xludf.DUMMYFUNCTION("""COMPUTED_VALUE"""),"N/N")</f>
        <v>N/N</v>
      </c>
      <c r="I30" s="8" t="str">
        <f ca="1">IFERROR(__xludf.DUMMYFUNCTION("""COMPUTED_VALUE"""),"3 x 5500")</f>
        <v>3 x 5500</v>
      </c>
      <c r="J30" s="8" t="str">
        <f ca="1">IFERROR(__xludf.DUMMYFUNCTION("""COMPUTED_VALUE"""),"MAN-B&amp;W")</f>
        <v>MAN-B&amp;W</v>
      </c>
      <c r="K30" s="8" t="str">
        <f ca="1">IFERROR(__xludf.DUMMYFUNCTION("""COMPUTED_VALUE"""),"13k/65t IFO")</f>
        <v>13k/65t IFO</v>
      </c>
      <c r="L30" s="8" t="str">
        <f ca="1">IFERROR(__xludf.DUMMYFUNCTION("""COMPUTED_VALUE"""),"Fitted")</f>
        <v>Fitted</v>
      </c>
      <c r="M30" s="8" t="str">
        <f ca="1">IFERROR(__xludf.DUMMYFUNCTION("""COMPUTED_VALUE"""),"CCS 11/28D")</f>
        <v>CCS 11/28D</v>
      </c>
      <c r="N30" s="8" t="str">
        <f ca="1">IFERROR(__xludf.DUMMYFUNCTION("""COMPUTED_VALUE"""),"PG/Fareast")</f>
        <v>PG/Fareast</v>
      </c>
      <c r="O30" s="8" t="str">
        <f ca="1">IFERROR(__xludf.DUMMYFUNCTION("""COMPUTED_VALUE"""),"47-45.0 m")</f>
        <v>47-45.0 m</v>
      </c>
    </row>
    <row r="31" spans="1:15" ht="15.75" customHeight="1" x14ac:dyDescent="0.25">
      <c r="A31" s="8" t="str">
        <f ca="1">IFERROR(__xludf.DUMMYFUNCTION("""COMPUTED_VALUE"""),"TA 296988/10")</f>
        <v>TA 296988/10</v>
      </c>
      <c r="B31" s="8" t="str">
        <f ca="1">IFERROR(__xludf.DUMMYFUNCTION("""COMPUTED_VALUE"""),"VLCC")</f>
        <v>VLCC</v>
      </c>
      <c r="C31" s="9">
        <f ca="1">IFERROR(__xludf.DUMMYFUNCTION("""COMPUTED_VALUE"""),296988)</f>
        <v>296988</v>
      </c>
      <c r="D31" s="8" t="str">
        <f ca="1">IFERROR(__xludf.DUMMYFUNCTION("""COMPUTED_VALUE"""),"2010-China")</f>
        <v>2010-China</v>
      </c>
      <c r="E31" s="8" t="str">
        <f ca="1">IFERROR(__xludf.DUMMYFUNCTION("""COMPUTED_VALUE"""),"330.0 x 60.0")</f>
        <v>330.0 x 60.0</v>
      </c>
      <c r="F31" s="8" t="str">
        <f ca="1">IFERROR(__xludf.DUMMYFUNCTION("""COMPUTED_VALUE"""),"17")</f>
        <v>17</v>
      </c>
      <c r="G31" s="8">
        <f ca="1">IFERROR(__xludf.DUMMYFUNCTION("""COMPUTED_VALUE"""),324600)</f>
        <v>324600</v>
      </c>
      <c r="H31" s="8" t="str">
        <f ca="1">IFERROR(__xludf.DUMMYFUNCTION("""COMPUTED_VALUE"""),"N/N")</f>
        <v>N/N</v>
      </c>
      <c r="I31" s="8" t="str">
        <f ca="1">IFERROR(__xludf.DUMMYFUNCTION("""COMPUTED_VALUE"""),"3 x 5500")</f>
        <v>3 x 5500</v>
      </c>
      <c r="J31" s="8" t="str">
        <f ca="1">IFERROR(__xludf.DUMMYFUNCTION("""COMPUTED_VALUE"""),"MAN-B&amp;W")</f>
        <v>MAN-B&amp;W</v>
      </c>
      <c r="K31" s="8" t="str">
        <f ca="1">IFERROR(__xludf.DUMMYFUNCTION("""COMPUTED_VALUE"""),"13k/65t IFO")</f>
        <v>13k/65t IFO</v>
      </c>
      <c r="L31" s="8" t="str">
        <f ca="1">IFERROR(__xludf.DUMMYFUNCTION("""COMPUTED_VALUE"""),"Scrubber fitted")</f>
        <v>Scrubber fitted</v>
      </c>
      <c r="M31" s="8" t="str">
        <f ca="1">IFERROR(__xludf.DUMMYFUNCTION("""COMPUTED_VALUE"""),"CCS Class")</f>
        <v>CCS Class</v>
      </c>
      <c r="N31" s="8" t="str">
        <f ca="1">IFERROR(__xludf.DUMMYFUNCTION("""COMPUTED_VALUE"""),"Singapore")</f>
        <v>Singapore</v>
      </c>
      <c r="O31" s="8" t="str">
        <f ca="1">IFERROR(__xludf.DUMMYFUNCTION("""COMPUTED_VALUE"""),"53-52.0 m")</f>
        <v>53-52.0 m</v>
      </c>
    </row>
    <row r="32" spans="1:15" ht="15.75" customHeight="1" x14ac:dyDescent="0.25">
      <c r="A32" s="8" t="str">
        <f ca="1">IFERROR(__xludf.DUMMYFUNCTION("""COMPUTED_VALUE"""),"TA 281050/99")</f>
        <v>TA 281050/99</v>
      </c>
      <c r="B32" s="8" t="str">
        <f ca="1">IFERROR(__xludf.DUMMYFUNCTION("""COMPUTED_VALUE"""),"VLCC")</f>
        <v>VLCC</v>
      </c>
      <c r="C32" s="9">
        <f ca="1">IFERROR(__xludf.DUMMYFUNCTION("""COMPUTED_VALUE"""),281050)</f>
        <v>281050</v>
      </c>
      <c r="D32" s="8" t="str">
        <f ca="1">IFERROR(__xludf.DUMMYFUNCTION("""COMPUTED_VALUE"""),"1999-Japan")</f>
        <v>1999-Japan</v>
      </c>
      <c r="E32" s="8" t="str">
        <f ca="1">IFERROR(__xludf.DUMMYFUNCTION("""COMPUTED_VALUE"""),"330.0 x 60.0")</f>
        <v>330.0 x 60.0</v>
      </c>
      <c r="F32" s="8" t="str">
        <f ca="1">IFERROR(__xludf.DUMMYFUNCTION("""COMPUTED_VALUE"""),"17")</f>
        <v>17</v>
      </c>
      <c r="G32" s="8">
        <f ca="1">IFERROR(__xludf.DUMMYFUNCTION("""COMPUTED_VALUE"""),321889)</f>
        <v>321889</v>
      </c>
      <c r="H32" s="8" t="str">
        <f ca="1">IFERROR(__xludf.DUMMYFUNCTION("""COMPUTED_VALUE"""),"N/Y Tar Epoxy bottom")</f>
        <v>N/Y Tar Epoxy bottom</v>
      </c>
      <c r="I32" s="8" t="str">
        <f ca="1">IFERROR(__xludf.DUMMYFUNCTION("""COMPUTED_VALUE"""),"3 x 5500")</f>
        <v>3 x 5500</v>
      </c>
      <c r="J32" s="8" t="str">
        <f ca="1">IFERROR(__xludf.DUMMYFUNCTION("""COMPUTED_VALUE"""),"Sulzer")</f>
        <v>Sulzer</v>
      </c>
      <c r="K32" s="8" t="str">
        <f ca="1">IFERROR(__xludf.DUMMYFUNCTION("""COMPUTED_VALUE"""),"-")</f>
        <v>-</v>
      </c>
      <c r="L32" s="8" t="str">
        <f ca="1">IFERROR(__xludf.DUMMYFUNCTION("""COMPUTED_VALUE"""),"Fitted")</f>
        <v>Fitted</v>
      </c>
      <c r="M32" s="8" t="str">
        <f ca="1">IFERROR(__xludf.DUMMYFUNCTION("""COMPUTED_VALUE"""),"OMCS 6/30D")</f>
        <v>OMCS 6/30D</v>
      </c>
      <c r="N32" s="8" t="str">
        <f ca="1">IFERROR(__xludf.DUMMYFUNCTION("""COMPUTED_VALUE"""),"Malaysia-China")</f>
        <v>Malaysia-China</v>
      </c>
      <c r="O32" s="8" t="str">
        <f ca="1">IFERROR(__xludf.DUMMYFUNCTION("""COMPUTED_VALUE"""),"30.0 m")</f>
        <v>30.0 m</v>
      </c>
    </row>
    <row r="33" spans="1:15" ht="15.75" customHeight="1" x14ac:dyDescent="0.25">
      <c r="A33" s="8" t="str">
        <f ca="1">IFERROR(__xludf.DUMMYFUNCTION("""COMPUTED_VALUE"""),"TA 160250/13")</f>
        <v>TA 160250/13</v>
      </c>
      <c r="B33" s="8" t="str">
        <f ca="1">IFERROR(__xludf.DUMMYFUNCTION("""COMPUTED_VALUE"""),"LR3 Suezmax Tanker")</f>
        <v>LR3 Suezmax Tanker</v>
      </c>
      <c r="C33" s="9">
        <f ca="1">IFERROR(__xludf.DUMMYFUNCTION("""COMPUTED_VALUE"""),160250)</f>
        <v>160250</v>
      </c>
      <c r="D33" s="8" t="str">
        <f ca="1">IFERROR(__xludf.DUMMYFUNCTION("""COMPUTED_VALUE"""),"2013-Japan")</f>
        <v>2013-Japan</v>
      </c>
      <c r="E33" s="8" t="str">
        <f ca="1">IFERROR(__xludf.DUMMYFUNCTION("""COMPUTED_VALUE"""),"274.0 x 48.00")</f>
        <v>274.0 x 48.00</v>
      </c>
      <c r="F33" s="8" t="str">
        <f ca="1">IFERROR(__xludf.DUMMYFUNCTION("""COMPUTED_VALUE"""),"14")</f>
        <v>14</v>
      </c>
      <c r="G33" s="8">
        <f ca="1">IFERROR(__xludf.DUMMYFUNCTION("""COMPUTED_VALUE"""),172956)</f>
        <v>172956</v>
      </c>
      <c r="H33" s="8" t="str">
        <f ca="1">IFERROR(__xludf.DUMMYFUNCTION("""COMPUTED_VALUE"""),"Y/N")</f>
        <v>Y/N</v>
      </c>
      <c r="I33" s="8" t="str">
        <f ca="1">IFERROR(__xludf.DUMMYFUNCTION("""COMPUTED_VALUE"""),"3 x 4000")</f>
        <v>3 x 4000</v>
      </c>
      <c r="J33" s="8" t="str">
        <f ca="1">IFERROR(__xludf.DUMMYFUNCTION("""COMPUTED_VALUE"""),"MAN-B&amp;W")</f>
        <v>MAN-B&amp;W</v>
      </c>
      <c r="K33" s="8" t="str">
        <f ca="1">IFERROR(__xludf.DUMMYFUNCTION("""COMPUTED_VALUE"""),"-")</f>
        <v>-</v>
      </c>
      <c r="L33" s="8" t="str">
        <f ca="1">IFERROR(__xludf.DUMMYFUNCTION("""COMPUTED_VALUE"""),"Scrubber fit")</f>
        <v>Scrubber fit</v>
      </c>
      <c r="M33" s="8" t="str">
        <f ca="1">IFERROR(__xludf.DUMMYFUNCTION("""COMPUTED_VALUE"""),"LR 1/28D")</f>
        <v>LR 1/28D</v>
      </c>
      <c r="N33" s="8" t="str">
        <f ca="1">IFERROR(__xludf.DUMMYFUNCTION("""COMPUTED_VALUE"""),"Kolkata, India")</f>
        <v>Kolkata, India</v>
      </c>
      <c r="O33" s="8" t="str">
        <f ca="1">IFERROR(__xludf.DUMMYFUNCTION("""COMPUTED_VALUE"""),"50.0 m")</f>
        <v>50.0 m</v>
      </c>
    </row>
    <row r="34" spans="1:15" ht="15.75" customHeight="1" x14ac:dyDescent="0.25">
      <c r="A34" s="8" t="str">
        <f ca="1">IFERROR(__xludf.DUMMYFUNCTION("""COMPUTED_VALUE"""),"TA 160095/12")</f>
        <v>TA 160095/12</v>
      </c>
      <c r="B34" s="8" t="str">
        <f ca="1">IFERROR(__xludf.DUMMYFUNCTION("""COMPUTED_VALUE"""),"LR3 Suezmax Tanker")</f>
        <v>LR3 Suezmax Tanker</v>
      </c>
      <c r="C34" s="9">
        <f ca="1">IFERROR(__xludf.DUMMYFUNCTION("""COMPUTED_VALUE"""),160095)</f>
        <v>160095</v>
      </c>
      <c r="D34" s="8" t="str">
        <f ca="1">IFERROR(__xludf.DUMMYFUNCTION("""COMPUTED_VALUE"""),"2012-Philip")</f>
        <v>2012-Philip</v>
      </c>
      <c r="E34" s="8" t="str">
        <f ca="1">IFERROR(__xludf.DUMMYFUNCTION("""COMPUTED_VALUE"""),"274.0 x 48.00")</f>
        <v>274.0 x 48.00</v>
      </c>
      <c r="F34" s="8" t="str">
        <f ca="1">IFERROR(__xludf.DUMMYFUNCTION("""COMPUTED_VALUE"""),"14")</f>
        <v>14</v>
      </c>
      <c r="G34" s="8">
        <f ca="1">IFERROR(__xludf.DUMMYFUNCTION("""COMPUTED_VALUE"""),172956)</f>
        <v>172956</v>
      </c>
      <c r="H34" s="8" t="str">
        <f ca="1">IFERROR(__xludf.DUMMYFUNCTION("""COMPUTED_VALUE"""),"Y/N")</f>
        <v>Y/N</v>
      </c>
      <c r="I34" s="8" t="str">
        <f ca="1">IFERROR(__xludf.DUMMYFUNCTION("""COMPUTED_VALUE"""),"3 x 3800")</f>
        <v>3 x 3800</v>
      </c>
      <c r="J34" s="8" t="str">
        <f ca="1">IFERROR(__xludf.DUMMYFUNCTION("""COMPUTED_VALUE"""),"MAN-B&amp;W")</f>
        <v>MAN-B&amp;W</v>
      </c>
      <c r="K34" s="8" t="str">
        <f ca="1">IFERROR(__xludf.DUMMYFUNCTION("""COMPUTED_VALUE"""),"-")</f>
        <v>-</v>
      </c>
      <c r="L34" s="8" t="str">
        <f ca="1">IFERROR(__xludf.DUMMYFUNCTION("""COMPUTED_VALUE"""),"Scrubber fit")</f>
        <v>Scrubber fit</v>
      </c>
      <c r="M34" s="8" t="str">
        <f ca="1">IFERROR(__xludf.DUMMYFUNCTION("""COMPUTED_VALUE"""),"LR 4/27D")</f>
        <v>LR 4/27D</v>
      </c>
      <c r="N34" s="8" t="str">
        <f ca="1">IFERROR(__xludf.DUMMYFUNCTION("""COMPUTED_VALUE"""),"Brazil")</f>
        <v>Brazil</v>
      </c>
      <c r="O34" s="8" t="str">
        <f ca="1">IFERROR(__xludf.DUMMYFUNCTION("""COMPUTED_VALUE"""),"47.5 m")</f>
        <v>47.5 m</v>
      </c>
    </row>
    <row r="35" spans="1:15" ht="15.75" customHeight="1" x14ac:dyDescent="0.25">
      <c r="A35" s="8" t="str">
        <f ca="1">IFERROR(__xludf.DUMMYFUNCTION("""COMPUTED_VALUE"""),"TA 159453/02")</f>
        <v>TA 159453/02</v>
      </c>
      <c r="B35" s="8" t="str">
        <f ca="1">IFERROR(__xludf.DUMMYFUNCTION("""COMPUTED_VALUE"""),"LR3 Suezmax Tanker")</f>
        <v>LR3 Suezmax Tanker</v>
      </c>
      <c r="C35" s="9">
        <f ca="1">IFERROR(__xludf.DUMMYFUNCTION("""COMPUTED_VALUE"""),159453)</f>
        <v>159453</v>
      </c>
      <c r="D35" s="8" t="str">
        <f ca="1">IFERROR(__xludf.DUMMYFUNCTION("""COMPUTED_VALUE"""),"2002-Korea")</f>
        <v>2002-Korea</v>
      </c>
      <c r="E35" s="8" t="str">
        <f ca="1">IFERROR(__xludf.DUMMYFUNCTION("""COMPUTED_VALUE"""),"274.2 x 48.00")</f>
        <v>274.2 x 48.00</v>
      </c>
      <c r="F35" s="8" t="str">
        <f ca="1">IFERROR(__xludf.DUMMYFUNCTION("""COMPUTED_VALUE"""),"14")</f>
        <v>14</v>
      </c>
      <c r="G35" s="8">
        <f ca="1">IFERROR(__xludf.DUMMYFUNCTION("""COMPUTED_VALUE"""),167531)</f>
        <v>167531</v>
      </c>
      <c r="H35" s="8" t="str">
        <f ca="1">IFERROR(__xludf.DUMMYFUNCTION("""COMPUTED_VALUE"""),"Y/Y Epoxy")</f>
        <v>Y/Y Epoxy</v>
      </c>
      <c r="I35" s="8" t="str">
        <f ca="1">IFERROR(__xludf.DUMMYFUNCTION("""COMPUTED_VALUE"""),"3 x 4000")</f>
        <v>3 x 4000</v>
      </c>
      <c r="J35" s="8" t="str">
        <f ca="1">IFERROR(__xludf.DUMMYFUNCTION("""COMPUTED_VALUE"""),"B&amp;W")</f>
        <v>B&amp;W</v>
      </c>
      <c r="K35" s="8"/>
      <c r="L35" s="8" t="str">
        <f ca="1">IFERROR(__xludf.DUMMYFUNCTION("""COMPUTED_VALUE"""),"To be chkd")</f>
        <v>To be chkd</v>
      </c>
      <c r="M35" s="8" t="str">
        <f ca="1">IFERROR(__xludf.DUMMYFUNCTION("""COMPUTED_VALUE"""),"BV 10/27D")</f>
        <v>BV 10/27D</v>
      </c>
      <c r="N35" s="8" t="str">
        <f ca="1">IFERROR(__xludf.DUMMYFUNCTION("""COMPUTED_VALUE"""),"R.Sea/AG")</f>
        <v>R.Sea/AG</v>
      </c>
      <c r="O35" s="8" t="str">
        <f ca="1">IFERROR(__xludf.DUMMYFUNCTION("""COMPUTED_VALUE"""),"B.offers")</f>
        <v>B.offers</v>
      </c>
    </row>
    <row r="36" spans="1:15" ht="15.75" customHeight="1" x14ac:dyDescent="0.25">
      <c r="A36" s="8" t="str">
        <f ca="1">IFERROR(__xludf.DUMMYFUNCTION("""COMPUTED_VALUE"""),"TA 159152/05")</f>
        <v>TA 159152/05</v>
      </c>
      <c r="B36" s="8" t="str">
        <f ca="1">IFERROR(__xludf.DUMMYFUNCTION("""COMPUTED_VALUE"""),"LR3 Suezmax Tanker")</f>
        <v>LR3 Suezmax Tanker</v>
      </c>
      <c r="C36" s="9">
        <f ca="1">IFERROR(__xludf.DUMMYFUNCTION("""COMPUTED_VALUE"""),159152)</f>
        <v>159152</v>
      </c>
      <c r="D36" s="8" t="str">
        <f ca="1">IFERROR(__xludf.DUMMYFUNCTION("""COMPUTED_VALUE"""),"2005-Korea")</f>
        <v>2005-Korea</v>
      </c>
      <c r="E36" s="8" t="str">
        <f ca="1">IFERROR(__xludf.DUMMYFUNCTION("""COMPUTED_VALUE"""),"274.4 x 48.00")</f>
        <v>274.4 x 48.00</v>
      </c>
      <c r="F36" s="8" t="str">
        <f ca="1">IFERROR(__xludf.DUMMYFUNCTION("""COMPUTED_VALUE"""),"14")</f>
        <v>14</v>
      </c>
      <c r="G36" s="8">
        <f ca="1">IFERROR(__xludf.DUMMYFUNCTION("""COMPUTED_VALUE"""),167931)</f>
        <v>167931</v>
      </c>
      <c r="H36" s="8" t="str">
        <f ca="1">IFERROR(__xludf.DUMMYFUNCTION("""COMPUTED_VALUE"""),"Y//N")</f>
        <v>Y//N</v>
      </c>
      <c r="I36" s="8" t="str">
        <f ca="1">IFERROR(__xludf.DUMMYFUNCTION("""COMPUTED_VALUE"""),"3 x 4000")</f>
        <v>3 x 4000</v>
      </c>
      <c r="J36" s="8" t="str">
        <f ca="1">IFERROR(__xludf.DUMMYFUNCTION("""COMPUTED_VALUE"""),"MAN-B&amp;W")</f>
        <v>MAN-B&amp;W</v>
      </c>
      <c r="K36" s="8" t="str">
        <f ca="1">IFERROR(__xludf.DUMMYFUNCTION("""COMPUTED_VALUE"""),"16.6 K")</f>
        <v>16.6 K</v>
      </c>
      <c r="L36" s="8" t="str">
        <f ca="1">IFERROR(__xludf.DUMMYFUNCTION("""COMPUTED_VALUE"""),"To be chkd")</f>
        <v>To be chkd</v>
      </c>
      <c r="M36" s="8" t="str">
        <f ca="1">IFERROR(__xludf.DUMMYFUNCTION("""COMPUTED_VALUE"""),"IRS 9/25 D")</f>
        <v>IRS 9/25 D</v>
      </c>
      <c r="N36" s="8" t="str">
        <f ca="1">IFERROR(__xludf.DUMMYFUNCTION("""COMPUTED_VALUE"""),"AG-India")</f>
        <v>AG-India</v>
      </c>
      <c r="O36" s="8" t="str">
        <f ca="1">IFERROR(__xludf.DUMMYFUNCTION("""COMPUTED_VALUE"""),"B.offers")</f>
        <v>B.offers</v>
      </c>
    </row>
    <row r="37" spans="1:15" ht="15.75" customHeight="1" x14ac:dyDescent="0.25">
      <c r="A37" s="8" t="str">
        <f ca="1">IFERROR(__xludf.DUMMYFUNCTION("""COMPUTED_VALUE"""),"TA 158933/06")</f>
        <v>TA 158933/06</v>
      </c>
      <c r="B37" s="8" t="str">
        <f ca="1">IFERROR(__xludf.DUMMYFUNCTION("""COMPUTED_VALUE"""),"LR3 Suezmax Tanker")</f>
        <v>LR3 Suezmax Tanker</v>
      </c>
      <c r="C37" s="9">
        <f ca="1">IFERROR(__xludf.DUMMYFUNCTION("""COMPUTED_VALUE"""),158933)</f>
        <v>158933</v>
      </c>
      <c r="D37" s="8" t="str">
        <f ca="1">IFERROR(__xludf.DUMMYFUNCTION("""COMPUTED_VALUE"""),"2006-Korea")</f>
        <v>2006-Korea</v>
      </c>
      <c r="E37" s="8" t="str">
        <f ca="1">IFERROR(__xludf.DUMMYFUNCTION("""COMPUTED_VALUE"""),"274.2 x 48.0")</f>
        <v>274.2 x 48.0</v>
      </c>
      <c r="F37" s="8" t="str">
        <f ca="1">IFERROR(__xludf.DUMMYFUNCTION("""COMPUTED_VALUE"""),"12")</f>
        <v>12</v>
      </c>
      <c r="G37" s="8">
        <f ca="1">IFERROR(__xludf.DUMMYFUNCTION("""COMPUTED_VALUE"""),167531)</f>
        <v>167531</v>
      </c>
      <c r="H37" s="8" t="str">
        <f ca="1">IFERROR(__xludf.DUMMYFUNCTION("""COMPUTED_VALUE"""),"Y/Y Epoxy")</f>
        <v>Y/Y Epoxy</v>
      </c>
      <c r="I37" s="8" t="str">
        <f ca="1">IFERROR(__xludf.DUMMYFUNCTION("""COMPUTED_VALUE"""),"3 x 4000")</f>
        <v>3 x 4000</v>
      </c>
      <c r="J37" s="8" t="str">
        <f ca="1">IFERROR(__xludf.DUMMYFUNCTION("""COMPUTED_VALUE"""),"MAN-B&amp;W")</f>
        <v>MAN-B&amp;W</v>
      </c>
      <c r="K37" s="8" t="str">
        <f ca="1">IFERROR(__xludf.DUMMYFUNCTION("""COMPUTED_VALUE"""),"15.7 kn")</f>
        <v>15.7 kn</v>
      </c>
      <c r="L37" s="8" t="str">
        <f ca="1">IFERROR(__xludf.DUMMYFUNCTION("""COMPUTED_VALUE"""),"Fitted")</f>
        <v>Fitted</v>
      </c>
      <c r="M37" s="8" t="str">
        <f ca="1">IFERROR(__xludf.DUMMYFUNCTION("""COMPUTED_VALUE"""),"LR 8/26D")</f>
        <v>LR 8/26D</v>
      </c>
      <c r="N37" s="8" t="str">
        <f ca="1">IFERROR(__xludf.DUMMYFUNCTION("""COMPUTED_VALUE"""),"Spain")</f>
        <v>Spain</v>
      </c>
      <c r="O37" s="8" t="str">
        <f ca="1">IFERROR(__xludf.DUMMYFUNCTION("""COMPUTED_VALUE"""),"29.5-28.9 m")</f>
        <v>29.5-28.9 m</v>
      </c>
    </row>
    <row r="38" spans="1:15" ht="15.75" customHeight="1" x14ac:dyDescent="0.25">
      <c r="A38" s="8" t="str">
        <f ca="1">IFERROR(__xludf.DUMMYFUNCTION("""COMPUTED_VALUE"""),"TA 158280/05")</f>
        <v>TA 158280/05</v>
      </c>
      <c r="B38" s="8" t="str">
        <f ca="1">IFERROR(__xludf.DUMMYFUNCTION("""COMPUTED_VALUE"""),"LR3 Suezmax/Ice 1B")</f>
        <v>LR3 Suezmax/Ice 1B</v>
      </c>
      <c r="C38" s="9">
        <f ca="1">IFERROR(__xludf.DUMMYFUNCTION("""COMPUTED_VALUE"""),158280)</f>
        <v>158280</v>
      </c>
      <c r="D38" s="8" t="str">
        <f ca="1">IFERROR(__xludf.DUMMYFUNCTION("""COMPUTED_VALUE"""),"2005-Korea")</f>
        <v>2005-Korea</v>
      </c>
      <c r="E38" s="8" t="str">
        <f ca="1">IFERROR(__xludf.DUMMYFUNCTION("""COMPUTED_VALUE"""),"274.1 X 48.00")</f>
        <v>274.1 X 48.00</v>
      </c>
      <c r="F38" s="8" t="str">
        <f ca="1">IFERROR(__xludf.DUMMYFUNCTION("""COMPUTED_VALUE"""),"14")</f>
        <v>14</v>
      </c>
      <c r="G38" s="8">
        <f ca="1">IFERROR(__xludf.DUMMYFUNCTION("""COMPUTED_VALUE"""),167530)</f>
        <v>167530</v>
      </c>
      <c r="H38" s="8" t="str">
        <f ca="1">IFERROR(__xludf.DUMMYFUNCTION("""COMPUTED_VALUE"""),"Y stst/N")</f>
        <v>Y stst/N</v>
      </c>
      <c r="I38" s="8" t="str">
        <f ca="1">IFERROR(__xludf.DUMMYFUNCTION("""COMPUTED_VALUE"""),"3 x 4000")</f>
        <v>3 x 4000</v>
      </c>
      <c r="J38" s="8" t="str">
        <f ca="1">IFERROR(__xludf.DUMMYFUNCTION("""COMPUTED_VALUE"""),"MAN-B&amp;W")</f>
        <v>MAN-B&amp;W</v>
      </c>
      <c r="K38" s="8" t="str">
        <f ca="1">IFERROR(__xludf.DUMMYFUNCTION("""COMPUTED_VALUE"""),"15.7k/67t IFO")</f>
        <v>15.7k/67t IFO</v>
      </c>
      <c r="L38" s="8" t="str">
        <f ca="1">IFERROR(__xludf.DUMMYFUNCTION("""COMPUTED_VALUE"""),"Fitted")</f>
        <v>Fitted</v>
      </c>
      <c r="M38" s="8" t="str">
        <f ca="1">IFERROR(__xludf.DUMMYFUNCTION("""COMPUTED_VALUE"""),"IR 9/26D")</f>
        <v>IR 9/26D</v>
      </c>
      <c r="N38" s="8" t="str">
        <f ca="1">IFERROR(__xludf.DUMMYFUNCTION("""COMPUTED_VALUE"""),"PG/India")</f>
        <v>PG/India</v>
      </c>
      <c r="O38" s="8" t="str">
        <f ca="1">IFERROR(__xludf.DUMMYFUNCTION("""COMPUTED_VALUE"""),"28.0 m")</f>
        <v>28.0 m</v>
      </c>
    </row>
    <row r="39" spans="1:15" ht="15.75" customHeight="1" x14ac:dyDescent="0.25">
      <c r="A39" s="8" t="str">
        <f ca="1">IFERROR(__xludf.DUMMYFUNCTION("""COMPUTED_VALUE"""),"TA 157374/17")</f>
        <v>TA 157374/17</v>
      </c>
      <c r="B39" s="8" t="str">
        <f ca="1">IFERROR(__xludf.DUMMYFUNCTION("""COMPUTED_VALUE"""),"LR3 Suezmax Tanker")</f>
        <v>LR3 Suezmax Tanker</v>
      </c>
      <c r="C39" s="9">
        <f ca="1">IFERROR(__xludf.DUMMYFUNCTION("""COMPUTED_VALUE"""),157374)</f>
        <v>157374</v>
      </c>
      <c r="D39" s="8" t="str">
        <f ca="1">IFERROR(__xludf.DUMMYFUNCTION("""COMPUTED_VALUE"""),"2017-Korea")</f>
        <v>2017-Korea</v>
      </c>
      <c r="E39" s="8" t="str">
        <f ca="1">IFERROR(__xludf.DUMMYFUNCTION("""COMPUTED_VALUE"""),"277.1 x 48.00")</f>
        <v>277.1 x 48.00</v>
      </c>
      <c r="F39" s="8" t="str">
        <f ca="1">IFERROR(__xludf.DUMMYFUNCTION("""COMPUTED_VALUE"""),"14")</f>
        <v>14</v>
      </c>
      <c r="G39" s="8">
        <f ca="1">IFERROR(__xludf.DUMMYFUNCTION("""COMPUTED_VALUE"""),164809)</f>
        <v>164809</v>
      </c>
      <c r="H39" s="8" t="str">
        <f ca="1">IFERROR(__xludf.DUMMYFUNCTION("""COMPUTED_VALUE"""),"Y/N")</f>
        <v>Y/N</v>
      </c>
      <c r="I39" s="8" t="str">
        <f ca="1">IFERROR(__xludf.DUMMYFUNCTION("""COMPUTED_VALUE"""),"3 X 4000")</f>
        <v>3 X 4000</v>
      </c>
      <c r="J39" s="8" t="str">
        <f ca="1">IFERROR(__xludf.DUMMYFUNCTION("""COMPUTED_VALUE"""),"MAN-B&amp;W")</f>
        <v>MAN-B&amp;W</v>
      </c>
      <c r="K39" s="8"/>
      <c r="L39" s="8" t="str">
        <f ca="1">IFERROR(__xludf.DUMMYFUNCTION("""COMPUTED_VALUE"""),"Fitted")</f>
        <v>Fitted</v>
      </c>
      <c r="M39" s="8" t="str">
        <f ca="1">IFERROR(__xludf.DUMMYFUNCTION("""COMPUTED_VALUE"""),"AB 6/27D")</f>
        <v>AB 6/27D</v>
      </c>
      <c r="N39" s="8" t="str">
        <f ca="1">IFERROR(__xludf.DUMMYFUNCTION("""COMPUTED_VALUE"""),"sold for")</f>
        <v>sold for</v>
      </c>
      <c r="O39" s="8" t="str">
        <f ca="1">IFERROR(__xludf.DUMMYFUNCTION("""COMPUTED_VALUE"""),"65.0 m")</f>
        <v>65.0 m</v>
      </c>
    </row>
    <row r="40" spans="1:15" ht="15.75" customHeight="1" x14ac:dyDescent="0.25">
      <c r="A40" s="8" t="str">
        <f ca="1">IFERROR(__xludf.DUMMYFUNCTION("""COMPUTED_VALUE"""),"TA 157327/99")</f>
        <v>TA 157327/99</v>
      </c>
      <c r="B40" s="8" t="str">
        <f ca="1">IFERROR(__xludf.DUMMYFUNCTION("""COMPUTED_VALUE"""),"LR3 Suezmax Tanker")</f>
        <v>LR3 Suezmax Tanker</v>
      </c>
      <c r="C40" s="9">
        <f ca="1">IFERROR(__xludf.DUMMYFUNCTION("""COMPUTED_VALUE"""),157327)</f>
        <v>157327</v>
      </c>
      <c r="D40" s="8" t="str">
        <f ca="1">IFERROR(__xludf.DUMMYFUNCTION("""COMPUTED_VALUE"""),"1999-Korea")</f>
        <v>1999-Korea</v>
      </c>
      <c r="E40" s="8" t="str">
        <f ca="1">IFERROR(__xludf.DUMMYFUNCTION("""COMPUTED_VALUE"""),"274.0 x 48.0")</f>
        <v>274.0 x 48.0</v>
      </c>
      <c r="F40" s="8" t="str">
        <f ca="1">IFERROR(__xludf.DUMMYFUNCTION("""COMPUTED_VALUE"""),"14")</f>
        <v>14</v>
      </c>
      <c r="G40" s="8">
        <f ca="1">IFERROR(__xludf.DUMMYFUNCTION("""COMPUTED_VALUE"""),166685)</f>
        <v>166685</v>
      </c>
      <c r="H40" s="8" t="str">
        <f ca="1">IFERROR(__xludf.DUMMYFUNCTION("""COMPUTED_VALUE"""),"Y/?")</f>
        <v>Y/?</v>
      </c>
      <c r="I40" s="8" t="str">
        <f ca="1">IFERROR(__xludf.DUMMYFUNCTION("""COMPUTED_VALUE"""),"3 x 3700")</f>
        <v>3 x 3700</v>
      </c>
      <c r="J40" s="8" t="str">
        <f ca="1">IFERROR(__xludf.DUMMYFUNCTION("""COMPUTED_VALUE"""),"B&amp;W")</f>
        <v>B&amp;W</v>
      </c>
      <c r="K40" s="8" t="str">
        <f ca="1">IFERROR(__xludf.DUMMYFUNCTION("""COMPUTED_VALUE"""),"-")</f>
        <v>-</v>
      </c>
      <c r="L40" s="8" t="str">
        <f ca="1">IFERROR(__xludf.DUMMYFUNCTION("""COMPUTED_VALUE"""),"To be chkd")</f>
        <v>To be chkd</v>
      </c>
      <c r="M40" s="8" t="str">
        <f ca="1">IFERROR(__xludf.DUMMYFUNCTION("""COMPUTED_VALUE"""),"LR 3/27D")</f>
        <v>LR 3/27D</v>
      </c>
      <c r="N40" s="8" t="str">
        <f ca="1">IFERROR(__xludf.DUMMYFUNCTION("""COMPUTED_VALUE"""),"Med")</f>
        <v>Med</v>
      </c>
      <c r="O40" s="8" t="str">
        <f ca="1">IFERROR(__xludf.DUMMYFUNCTION("""COMPUTED_VALUE"""),"B.offers")</f>
        <v>B.offers</v>
      </c>
    </row>
    <row r="41" spans="1:15" ht="15.75" customHeight="1" x14ac:dyDescent="0.25">
      <c r="A41" s="8" t="str">
        <f ca="1">IFERROR(__xludf.DUMMYFUNCTION("""COMPUTED_VALUE"""),"TA 149996/06")</f>
        <v>TA 149996/06</v>
      </c>
      <c r="B41" s="8" t="str">
        <f ca="1">IFERROR(__xludf.DUMMYFUNCTION("""COMPUTED_VALUE"""),"LR3 Suezmax Tanker")</f>
        <v>LR3 Suezmax Tanker</v>
      </c>
      <c r="C41" s="9">
        <f ca="1">IFERROR(__xludf.DUMMYFUNCTION("""COMPUTED_VALUE"""),149996)</f>
        <v>149996</v>
      </c>
      <c r="D41" s="8" t="str">
        <f ca="1">IFERROR(__xludf.DUMMYFUNCTION("""COMPUTED_VALUE"""),"2006-Japan")</f>
        <v>2006-Japan</v>
      </c>
      <c r="E41" s="8" t="str">
        <f ca="1">IFERROR(__xludf.DUMMYFUNCTION("""COMPUTED_VALUE"""),"274.2 x 48.0")</f>
        <v>274.2 x 48.0</v>
      </c>
      <c r="F41" s="8" t="str">
        <f ca="1">IFERROR(__xludf.DUMMYFUNCTION("""COMPUTED_VALUE"""),"14")</f>
        <v>14</v>
      </c>
      <c r="G41" s="8">
        <f ca="1">IFERROR(__xludf.DUMMYFUNCTION("""COMPUTED_VALUE"""),160636)</f>
        <v>160636</v>
      </c>
      <c r="H41" s="8" t="str">
        <f ca="1">IFERROR(__xludf.DUMMYFUNCTION("""COMPUTED_VALUE"""),"Y/N")</f>
        <v>Y/N</v>
      </c>
      <c r="I41" s="8" t="str">
        <f ca="1">IFERROR(__xludf.DUMMYFUNCTION("""COMPUTED_VALUE"""),"3 x 3500")</f>
        <v>3 x 3500</v>
      </c>
      <c r="J41" s="8" t="str">
        <f ca="1">IFERROR(__xludf.DUMMYFUNCTION("""COMPUTED_VALUE"""),"Sulzer")</f>
        <v>Sulzer</v>
      </c>
      <c r="K41" s="8" t="str">
        <f ca="1">IFERROR(__xludf.DUMMYFUNCTION("""COMPUTED_VALUE"""),"13k/52 t IFO")</f>
        <v>13k/52 t IFO</v>
      </c>
      <c r="L41" s="8" t="str">
        <f ca="1">IFERROR(__xludf.DUMMYFUNCTION("""COMPUTED_VALUE"""),"Fitted")</f>
        <v>Fitted</v>
      </c>
      <c r="M41" s="8" t="str">
        <f ca="1">IFERROR(__xludf.DUMMYFUNCTION("""COMPUTED_VALUE"""),"LR 4/26D")</f>
        <v>LR 4/26D</v>
      </c>
      <c r="N41" s="8" t="str">
        <f ca="1">IFERROR(__xludf.DUMMYFUNCTION("""COMPUTED_VALUE"""),"Turkey/Med")</f>
        <v>Turkey/Med</v>
      </c>
      <c r="O41" s="8" t="str">
        <f ca="1">IFERROR(__xludf.DUMMYFUNCTION("""COMPUTED_VALUE"""),"B.offers")</f>
        <v>B.offers</v>
      </c>
    </row>
    <row r="42" spans="1:15" ht="15.75" customHeight="1" x14ac:dyDescent="0.25">
      <c r="A42" s="8" t="str">
        <f ca="1">IFERROR(__xludf.DUMMYFUNCTION("""COMPUTED_VALUE"""),"TA 149991/02")</f>
        <v>TA 149991/02</v>
      </c>
      <c r="B42" s="8" t="str">
        <f ca="1">IFERROR(__xludf.DUMMYFUNCTION("""COMPUTED_VALUE"""),"LR3 Suezmax tanker")</f>
        <v>LR3 Suezmax tanker</v>
      </c>
      <c r="C42" s="9">
        <f ca="1">IFERROR(__xludf.DUMMYFUNCTION("""COMPUTED_VALUE"""),149991)</f>
        <v>149991</v>
      </c>
      <c r="D42" s="8" t="str">
        <f ca="1">IFERROR(__xludf.DUMMYFUNCTION("""COMPUTED_VALUE"""),"2002-Japan")</f>
        <v>2002-Japan</v>
      </c>
      <c r="E42" s="8" t="str">
        <f ca="1">IFERROR(__xludf.DUMMYFUNCTION("""COMPUTED_VALUE"""),"272.0 x 45.60")</f>
        <v>272.0 x 45.60</v>
      </c>
      <c r="F42" s="8" t="str">
        <f ca="1">IFERROR(__xludf.DUMMYFUNCTION("""COMPUTED_VALUE"""),"16")</f>
        <v>16</v>
      </c>
      <c r="G42" s="8">
        <f ca="1">IFERROR(__xludf.DUMMYFUNCTION("""COMPUTED_VALUE"""),162591)</f>
        <v>162591</v>
      </c>
      <c r="H42" s="8" t="str">
        <f ca="1">IFERROR(__xludf.DUMMYFUNCTION("""COMPUTED_VALUE"""),"Y/N")</f>
        <v>Y/N</v>
      </c>
      <c r="I42" s="8" t="str">
        <f ca="1">IFERROR(__xludf.DUMMYFUNCTION("""COMPUTED_VALUE"""),"3 x 3500")</f>
        <v>3 x 3500</v>
      </c>
      <c r="J42" s="8" t="str">
        <f ca="1">IFERROR(__xludf.DUMMYFUNCTION("""COMPUTED_VALUE"""),"B&amp;W")</f>
        <v>B&amp;W</v>
      </c>
      <c r="K42" s="8" t="str">
        <f ca="1">IFERROR(__xludf.DUMMYFUNCTION("""COMPUTED_VALUE"""),"-")</f>
        <v>-</v>
      </c>
      <c r="L42" s="8" t="str">
        <f ca="1">IFERROR(__xludf.DUMMYFUNCTION("""COMPUTED_VALUE"""),"Fitted")</f>
        <v>Fitted</v>
      </c>
      <c r="M42" s="8" t="str">
        <f ca="1">IFERROR(__xludf.DUMMYFUNCTION("""COMPUTED_VALUE"""),"RI 6.28D")</f>
        <v>RI 6.28D</v>
      </c>
      <c r="N42" s="8" t="str">
        <f ca="1">IFERROR(__xludf.DUMMYFUNCTION("""COMPUTED_VALUE"""),"India/Singapore")</f>
        <v>India/Singapore</v>
      </c>
      <c r="O42" s="8" t="str">
        <f ca="1">IFERROR(__xludf.DUMMYFUNCTION("""COMPUTED_VALUE"""),"B.offers")</f>
        <v>B.offers</v>
      </c>
    </row>
    <row r="43" spans="1:15" ht="15.75" customHeight="1" x14ac:dyDescent="0.25">
      <c r="A43" s="8" t="str">
        <f ca="1">IFERROR(__xludf.DUMMYFUNCTION("""COMPUTED_VALUE"""),"TA 147080/00")</f>
        <v>TA 147080/00</v>
      </c>
      <c r="B43" s="8" t="str">
        <f ca="1">IFERROR(__xludf.DUMMYFUNCTION("""COMPUTED_VALUE"""),"LR3 Suezmax Tanker")</f>
        <v>LR3 Suezmax Tanker</v>
      </c>
      <c r="C43" s="9">
        <f ca="1">IFERROR(__xludf.DUMMYFUNCTION("""COMPUTED_VALUE"""),147080)</f>
        <v>147080</v>
      </c>
      <c r="D43" s="8" t="str">
        <f ca="1">IFERROR(__xludf.DUMMYFUNCTION("""COMPUTED_VALUE"""),"2000-Korea")</f>
        <v>2000-Korea</v>
      </c>
      <c r="E43" s="8" t="str">
        <f ca="1">IFERROR(__xludf.DUMMYFUNCTION("""COMPUTED_VALUE"""),"272.2 X 47.7")</f>
        <v>272.2 X 47.7</v>
      </c>
      <c r="F43" s="8" t="str">
        <f ca="1">IFERROR(__xludf.DUMMYFUNCTION("""COMPUTED_VALUE"""),"12")</f>
        <v>12</v>
      </c>
      <c r="G43" s="8">
        <f ca="1">IFERROR(__xludf.DUMMYFUNCTION("""COMPUTED_VALUE"""),163420)</f>
        <v>163420</v>
      </c>
      <c r="H43" s="8" t="str">
        <f ca="1">IFERROR(__xludf.DUMMYFUNCTION("""COMPUTED_VALUE"""),"Y/?")</f>
        <v>Y/?</v>
      </c>
      <c r="I43" s="8" t="str">
        <f ca="1">IFERROR(__xludf.DUMMYFUNCTION("""COMPUTED_VALUE"""),"3 x 3500")</f>
        <v>3 x 3500</v>
      </c>
      <c r="J43" s="8" t="str">
        <f ca="1">IFERROR(__xludf.DUMMYFUNCTION("""COMPUTED_VALUE"""),"MAN-B&amp;W")</f>
        <v>MAN-B&amp;W</v>
      </c>
      <c r="K43" s="8" t="str">
        <f ca="1">IFERROR(__xludf.DUMMYFUNCTION("""COMPUTED_VALUE"""),"-")</f>
        <v>-</v>
      </c>
      <c r="L43" s="8" t="str">
        <f ca="1">IFERROR(__xludf.DUMMYFUNCTION("""COMPUTED_VALUE"""),"Scrubber")</f>
        <v>Scrubber</v>
      </c>
      <c r="M43" s="8" t="str">
        <f ca="1">IFERROR(__xludf.DUMMYFUNCTION("""COMPUTED_VALUE"""),"RI 8/23P")</f>
        <v>RI 8/23P</v>
      </c>
      <c r="N43" s="10" t="str">
        <f ca="1">IFERROR(__xludf.DUMMYFUNCTION("""COMPUTED_VALUE"""),"SE.Asia")</f>
        <v>SE.Asia</v>
      </c>
      <c r="O43" s="8" t="str">
        <f ca="1">IFERROR(__xludf.DUMMYFUNCTION("""COMPUTED_VALUE"""),"B.offers")</f>
        <v>B.offers</v>
      </c>
    </row>
    <row r="44" spans="1:15" ht="15.75" customHeight="1" x14ac:dyDescent="0.25">
      <c r="A44" s="8" t="str">
        <f ca="1">IFERROR(__xludf.DUMMYFUNCTION("""COMPUTED_VALUE"""),"TA 130940/R25")</f>
        <v>TA 130940/R25</v>
      </c>
      <c r="B44" s="8" t="str">
        <f ca="1">IFERROR(__xludf.DUMMYFUNCTION("""COMPUTED_VALUE"""),"FPSO")</f>
        <v>FPSO</v>
      </c>
      <c r="C44" s="9">
        <f ca="1">IFERROR(__xludf.DUMMYFUNCTION("""COMPUTED_VALUE"""),130940)</f>
        <v>130940</v>
      </c>
      <c r="D44" s="8" t="str">
        <f ca="1">IFERROR(__xludf.DUMMYFUNCTION("""COMPUTED_VALUE"""),"1975/2025-Japan")</f>
        <v>1975/2025-Japan</v>
      </c>
      <c r="E44" s="8" t="str">
        <f ca="1">IFERROR(__xludf.DUMMYFUNCTION("""COMPUTED_VALUE"""),"267.0 x 44.00")</f>
        <v>267.0 x 44.00</v>
      </c>
      <c r="F44" s="8" t="str">
        <f ca="1">IFERROR(__xludf.DUMMYFUNCTION("""COMPUTED_VALUE"""),"13")</f>
        <v>13</v>
      </c>
      <c r="G44" s="8">
        <f ca="1">IFERROR(__xludf.DUMMYFUNCTION("""COMPUTED_VALUE"""),146455)</f>
        <v>146455</v>
      </c>
      <c r="H44" s="8" t="str">
        <f ca="1">IFERROR(__xludf.DUMMYFUNCTION("""COMPUTED_VALUE"""),"?/?")</f>
        <v>?/?</v>
      </c>
      <c r="I44" s="8" t="str">
        <f ca="1">IFERROR(__xludf.DUMMYFUNCTION("""COMPUTED_VALUE"""),"3 x 3500")</f>
        <v>3 x 3500</v>
      </c>
      <c r="J44" s="8" t="str">
        <f ca="1">IFERROR(__xludf.DUMMYFUNCTION("""COMPUTED_VALUE"""),"Sulzer")</f>
        <v>Sulzer</v>
      </c>
      <c r="K44" s="8" t="str">
        <f ca="1">IFERROR(__xludf.DUMMYFUNCTION("""COMPUTED_VALUE"""),"15k")</f>
        <v>15k</v>
      </c>
      <c r="L44" s="8" t="str">
        <f ca="1">IFERROR(__xludf.DUMMYFUNCTION("""COMPUTED_VALUE"""),"To be chkd")</f>
        <v>To be chkd</v>
      </c>
      <c r="M44" s="8" t="str">
        <f ca="1">IFERROR(__xludf.DUMMYFUNCTION("""COMPUTED_VALUE"""),"SS 12/28D")</f>
        <v>SS 12/28D</v>
      </c>
      <c r="N44" s="8" t="str">
        <f ca="1">IFERROR(__xludf.DUMMYFUNCTION("""COMPUTED_VALUE"""),"Zhoushan, China")</f>
        <v>Zhoushan, China</v>
      </c>
      <c r="O44" s="8" t="str">
        <f ca="1">IFERROR(__xludf.DUMMYFUNCTION("""COMPUTED_VALUE"""),"77-76 m")</f>
        <v>77-76 m</v>
      </c>
    </row>
    <row r="45" spans="1:15" ht="15.75" customHeight="1" x14ac:dyDescent="0.25">
      <c r="A45" s="8" t="str">
        <f ca="1">IFERROR(__xludf.DUMMYFUNCTION("""COMPUTED_VALUE"""),"TA 119456/10")</f>
        <v>TA 119456/10</v>
      </c>
      <c r="B45" s="8" t="str">
        <f ca="1">IFERROR(__xludf.DUMMYFUNCTION("""COMPUTED_VALUE"""),"LR2 Aframax Tanker")</f>
        <v>LR2 Aframax Tanker</v>
      </c>
      <c r="C45" s="9">
        <f ca="1">IFERROR(__xludf.DUMMYFUNCTION("""COMPUTED_VALUE"""),119456)</f>
        <v>119456</v>
      </c>
      <c r="D45" s="8" t="str">
        <f ca="1">IFERROR(__xludf.DUMMYFUNCTION("""COMPUTED_VALUE"""),"2010-Korea")</f>
        <v>2010-Korea</v>
      </c>
      <c r="E45" s="8" t="str">
        <f ca="1">IFERROR(__xludf.DUMMYFUNCTION("""COMPUTED_VALUE"""),"249.9 x 45.00")</f>
        <v>249.9 x 45.00</v>
      </c>
      <c r="F45" s="8" t="str">
        <f ca="1">IFERROR(__xludf.DUMMYFUNCTION("""COMPUTED_VALUE"""),"14")</f>
        <v>14</v>
      </c>
      <c r="G45" s="8">
        <f ca="1">IFERROR(__xludf.DUMMYFUNCTION("""COMPUTED_VALUE"""),134173)</f>
        <v>134173</v>
      </c>
      <c r="H45" s="8" t="str">
        <f ca="1">IFERROR(__xludf.DUMMYFUNCTION("""COMPUTED_VALUE"""),"Heatexch./Y Epoxy")</f>
        <v>Heatexch./Y Epoxy</v>
      </c>
      <c r="I45" s="8" t="str">
        <f ca="1">IFERROR(__xludf.DUMMYFUNCTION("""COMPUTED_VALUE"""),"12 x 1500")</f>
        <v>12 x 1500</v>
      </c>
      <c r="J45" s="8" t="str">
        <f ca="1">IFERROR(__xludf.DUMMYFUNCTION("""COMPUTED_VALUE"""),"MAN-B&amp;W")</f>
        <v>MAN-B&amp;W</v>
      </c>
      <c r="K45" s="8" t="str">
        <f ca="1">IFERROR(__xludf.DUMMYFUNCTION("""COMPUTED_VALUE"""),"13.5k/39t IFO")</f>
        <v>13.5k/39t IFO</v>
      </c>
      <c r="L45" s="8" t="str">
        <f ca="1">IFERROR(__xludf.DUMMYFUNCTION("""COMPUTED_VALUE"""),"Fitted")</f>
        <v>Fitted</v>
      </c>
      <c r="M45" s="8" t="str">
        <f ca="1">IFERROR(__xludf.DUMMYFUNCTION("""COMPUTED_VALUE"""),"NV 3/30D")</f>
        <v>NV 3/30D</v>
      </c>
      <c r="N45" s="8" t="str">
        <f ca="1">IFERROR(__xludf.DUMMYFUNCTION("""COMPUTED_VALUE"""),"Lome, Guinea")</f>
        <v>Lome, Guinea</v>
      </c>
      <c r="O45" s="8" t="str">
        <f ca="1">IFERROR(__xludf.DUMMYFUNCTION("""COMPUTED_VALUE"""),"36-35.0 m")</f>
        <v>36-35.0 m</v>
      </c>
    </row>
    <row r="46" spans="1:15" ht="15.75" customHeight="1" x14ac:dyDescent="0.25">
      <c r="A46" s="8" t="str">
        <f ca="1">IFERROR(__xludf.DUMMYFUNCTION("""COMPUTED_VALUE"""),"TA 115674/18")</f>
        <v>TA 115674/18</v>
      </c>
      <c r="B46" s="8" t="str">
        <f ca="1">IFERROR(__xludf.DUMMYFUNCTION("""COMPUTED_VALUE"""),"LR2 Aframax Tanker")</f>
        <v>LR2 Aframax Tanker</v>
      </c>
      <c r="C46" s="9">
        <f ca="1">IFERROR(__xludf.DUMMYFUNCTION("""COMPUTED_VALUE"""),115674)</f>
        <v>115674</v>
      </c>
      <c r="D46" s="8" t="str">
        <f ca="1">IFERROR(__xludf.DUMMYFUNCTION("""COMPUTED_VALUE"""),"2018-Korea")</f>
        <v>2018-Korea</v>
      </c>
      <c r="E46" s="8" t="str">
        <f ca="1">IFERROR(__xludf.DUMMYFUNCTION("""COMPUTED_VALUE"""),"249.9 x 44.0")</f>
        <v>249.9 x 44.0</v>
      </c>
      <c r="F46" s="8" t="str">
        <f ca="1">IFERROR(__xludf.DUMMYFUNCTION("""COMPUTED_VALUE"""),"14")</f>
        <v>14</v>
      </c>
      <c r="G46" s="8">
        <f ca="1">IFERROR(__xludf.DUMMYFUNCTION("""COMPUTED_VALUE"""),124511)</f>
        <v>124511</v>
      </c>
      <c r="H46" s="8" t="str">
        <f ca="1">IFERROR(__xludf.DUMMYFUNCTION("""COMPUTED_VALUE"""),"Y/Y Epoxy")</f>
        <v>Y/Y Epoxy</v>
      </c>
      <c r="I46" s="8" t="str">
        <f ca="1">IFERROR(__xludf.DUMMYFUNCTION("""COMPUTED_VALUE"""),"3 x 3000")</f>
        <v>3 x 3000</v>
      </c>
      <c r="J46" s="8" t="str">
        <f ca="1">IFERROR(__xludf.DUMMYFUNCTION("""COMPUTED_VALUE"""),"MAN-B&amp;W")</f>
        <v>MAN-B&amp;W</v>
      </c>
      <c r="K46" s="8" t="str">
        <f ca="1">IFERROR(__xludf.DUMMYFUNCTION("""COMPUTED_VALUE"""),"14k/34.5t IFO")</f>
        <v>14k/34.5t IFO</v>
      </c>
      <c r="L46" s="8" t="str">
        <f ca="1">IFERROR(__xludf.DUMMYFUNCTION("""COMPUTED_VALUE"""),"Scrubber fitted")</f>
        <v>Scrubber fitted</v>
      </c>
      <c r="M46" s="8" t="str">
        <f ca="1">IFERROR(__xludf.DUMMYFUNCTION("""COMPUTED_VALUE"""),"LR 3/28D")</f>
        <v>LR 3/28D</v>
      </c>
      <c r="N46" s="8" t="str">
        <f ca="1">IFERROR(__xludf.DUMMYFUNCTION("""COMPUTED_VALUE"""),"Turkey  ")</f>
        <v xml:space="preserve">Turkey  </v>
      </c>
      <c r="O46" s="8" t="str">
        <f ca="1">IFERROR(__xludf.DUMMYFUNCTION("""COMPUTED_VALUE"""),"B.offers")</f>
        <v>B.offers</v>
      </c>
    </row>
    <row r="47" spans="1:15" ht="15.75" customHeight="1" x14ac:dyDescent="0.25">
      <c r="A47" s="8" t="str">
        <f ca="1">IFERROR(__xludf.DUMMYFUNCTION("""COMPUTED_VALUE"""),"TA 115897/10")</f>
        <v>TA 115897/10</v>
      </c>
      <c r="B47" s="8" t="str">
        <f ca="1">IFERROR(__xludf.DUMMYFUNCTION("""COMPUTED_VALUE"""),"LR2 Aframax tanker")</f>
        <v>LR2 Aframax tanker</v>
      </c>
      <c r="C47" s="9">
        <f ca="1">IFERROR(__xludf.DUMMYFUNCTION("""COMPUTED_VALUE"""),115897)</f>
        <v>115897</v>
      </c>
      <c r="D47" s="8" t="str">
        <f ca="1">IFERROR(__xludf.DUMMYFUNCTION("""COMPUTED_VALUE"""),"2010-Korea")</f>
        <v>2010-Korea</v>
      </c>
      <c r="E47" s="8" t="str">
        <f ca="1">IFERROR(__xludf.DUMMYFUNCTION("""COMPUTED_VALUE"""),"249.9 x 43.8")</f>
        <v>249.9 x 43.8</v>
      </c>
      <c r="F47" s="8" t="str">
        <f ca="1">IFERROR(__xludf.DUMMYFUNCTION("""COMPUTED_VALUE"""),"14")</f>
        <v>14</v>
      </c>
      <c r="G47" s="8">
        <f ca="1">IFERROR(__xludf.DUMMYFUNCTION("""COMPUTED_VALUE"""),123650)</f>
        <v>123650</v>
      </c>
      <c r="H47" s="8" t="str">
        <f ca="1">IFERROR(__xludf.DUMMYFUNCTION("""COMPUTED_VALUE"""),"Y/?")</f>
        <v>Y/?</v>
      </c>
      <c r="I47" s="8" t="str">
        <f ca="1">IFERROR(__xludf.DUMMYFUNCTION("""COMPUTED_VALUE"""),"3 x 2800")</f>
        <v>3 x 2800</v>
      </c>
      <c r="J47" s="8" t="str">
        <f ca="1">IFERROR(__xludf.DUMMYFUNCTION("""COMPUTED_VALUE"""),"MAN-B&amp;W")</f>
        <v>MAN-B&amp;W</v>
      </c>
      <c r="K47" s="8" t="str">
        <f ca="1">IFERROR(__xludf.DUMMYFUNCTION("""COMPUTED_VALUE"""),"14.5k/47t FO")</f>
        <v>14.5k/47t FO</v>
      </c>
      <c r="L47" s="8" t="str">
        <f ca="1">IFERROR(__xludf.DUMMYFUNCTION("""COMPUTED_VALUE"""),"Fitted")</f>
        <v>Fitted</v>
      </c>
      <c r="M47" s="8" t="str">
        <f ca="1">IFERROR(__xludf.DUMMYFUNCTION("""COMPUTED_VALUE"""),"BV 7/25D")</f>
        <v>BV 7/25D</v>
      </c>
      <c r="N47" s="8" t="str">
        <f ca="1">IFERROR(__xludf.DUMMYFUNCTION("""COMPUTED_VALUE"""),"AG/India")</f>
        <v>AG/India</v>
      </c>
      <c r="O47" s="8" t="str">
        <f ca="1">IFERROR(__xludf.DUMMYFUNCTION("""COMPUTED_VALUE"""),"B.offers")</f>
        <v>B.offers</v>
      </c>
    </row>
    <row r="48" spans="1:15" ht="15.75" customHeight="1" x14ac:dyDescent="0.25">
      <c r="A48" s="8" t="str">
        <f ca="1">IFERROR(__xludf.DUMMYFUNCTION("""COMPUTED_VALUE"""),"TA 115666/18")</f>
        <v>TA 115666/18</v>
      </c>
      <c r="B48" s="8" t="str">
        <f ca="1">IFERROR(__xludf.DUMMYFUNCTION("""COMPUTED_VALUE"""),"LR2 Aframax Tanker")</f>
        <v>LR2 Aframax Tanker</v>
      </c>
      <c r="C48" s="9">
        <f ca="1">IFERROR(__xludf.DUMMYFUNCTION("""COMPUTED_VALUE"""),115666)</f>
        <v>115666</v>
      </c>
      <c r="D48" s="8" t="str">
        <f ca="1">IFERROR(__xludf.DUMMYFUNCTION("""COMPUTED_VALUE"""),"1018-Korea")</f>
        <v>1018-Korea</v>
      </c>
      <c r="E48" s="8" t="str">
        <f ca="1">IFERROR(__xludf.DUMMYFUNCTION("""COMPUTED_VALUE"""),"249.9 x 44.0")</f>
        <v>249.9 x 44.0</v>
      </c>
      <c r="F48" s="8" t="str">
        <f ca="1">IFERROR(__xludf.DUMMYFUNCTION("""COMPUTED_VALUE"""),"14")</f>
        <v>14</v>
      </c>
      <c r="G48" s="8">
        <f ca="1">IFERROR(__xludf.DUMMYFUNCTION("""COMPUTED_VALUE"""),124511)</f>
        <v>124511</v>
      </c>
      <c r="H48" s="8" t="str">
        <f ca="1">IFERROR(__xludf.DUMMYFUNCTION("""COMPUTED_VALUE"""),"Y/Y Epoxy")</f>
        <v>Y/Y Epoxy</v>
      </c>
      <c r="I48" s="8" t="str">
        <f ca="1">IFERROR(__xludf.DUMMYFUNCTION("""COMPUTED_VALUE"""),"3 x 3000")</f>
        <v>3 x 3000</v>
      </c>
      <c r="J48" s="8" t="str">
        <f ca="1">IFERROR(__xludf.DUMMYFUNCTION("""COMPUTED_VALUE"""),"MAN-B&amp;W")</f>
        <v>MAN-B&amp;W</v>
      </c>
      <c r="K48" s="8" t="str">
        <f ca="1">IFERROR(__xludf.DUMMYFUNCTION("""COMPUTED_VALUE"""),"14k/34.5t IFO")</f>
        <v>14k/34.5t IFO</v>
      </c>
      <c r="L48" s="8" t="str">
        <f ca="1">IFERROR(__xludf.DUMMYFUNCTION("""COMPUTED_VALUE"""),"Scrubber fitted")</f>
        <v>Scrubber fitted</v>
      </c>
      <c r="M48" s="8" t="str">
        <f ca="1">IFERROR(__xludf.DUMMYFUNCTION("""COMPUTED_VALUE"""),"LR 5/28D")</f>
        <v>LR 5/28D</v>
      </c>
      <c r="N48" s="8" t="str">
        <f ca="1">IFERROR(__xludf.DUMMYFUNCTION("""COMPUTED_VALUE"""),"Med")</f>
        <v>Med</v>
      </c>
      <c r="O48" s="8" t="str">
        <f ca="1">IFERROR(__xludf.DUMMYFUNCTION("""COMPUTED_VALUE"""),"B.offers")</f>
        <v>B.offers</v>
      </c>
    </row>
    <row r="49" spans="1:15" ht="15.75" customHeight="1" x14ac:dyDescent="0.25">
      <c r="A49" s="8" t="str">
        <f ca="1">IFERROR(__xludf.DUMMYFUNCTION("""COMPUTED_VALUE"""),"TA 115577/08")</f>
        <v>TA 115577/08</v>
      </c>
      <c r="B49" s="8" t="str">
        <f ca="1">IFERROR(__xludf.DUMMYFUNCTION("""COMPUTED_VALUE"""),"LR2 Aframax Tanker")</f>
        <v>LR2 Aframax Tanker</v>
      </c>
      <c r="C49" s="9">
        <f ca="1">IFERROR(__xludf.DUMMYFUNCTION("""COMPUTED_VALUE"""),115577)</f>
        <v>115577</v>
      </c>
      <c r="D49" s="8" t="str">
        <f ca="1">IFERROR(__xludf.DUMMYFUNCTION("""COMPUTED_VALUE"""),"2008-Japan")</f>
        <v>2008-Japan</v>
      </c>
      <c r="E49" s="8" t="str">
        <f ca="1">IFERROR(__xludf.DUMMYFUNCTION("""COMPUTED_VALUE"""),"243.8 x 42.0")</f>
        <v>243.8 x 42.0</v>
      </c>
      <c r="F49" s="8" t="str">
        <f ca="1">IFERROR(__xludf.DUMMYFUNCTION("""COMPUTED_VALUE"""),"12")</f>
        <v>12</v>
      </c>
      <c r="G49" s="8">
        <f ca="1">IFERROR(__xludf.DUMMYFUNCTION("""COMPUTED_VALUE"""),119528)</f>
        <v>119528</v>
      </c>
      <c r="H49" s="8" t="str">
        <f ca="1">IFERROR(__xludf.DUMMYFUNCTION("""COMPUTED_VALUE"""),"Y/N")</f>
        <v>Y/N</v>
      </c>
      <c r="I49" s="8" t="str">
        <f ca="1">IFERROR(__xludf.DUMMYFUNCTION("""COMPUTED_VALUE"""),"3 x 2500")</f>
        <v>3 x 2500</v>
      </c>
      <c r="J49" s="8" t="str">
        <f ca="1">IFERROR(__xludf.DUMMYFUNCTION("""COMPUTED_VALUE"""),"MAN-B&amp;W")</f>
        <v>MAN-B&amp;W</v>
      </c>
      <c r="K49" s="8" t="str">
        <f ca="1">IFERROR(__xludf.DUMMYFUNCTION("""COMPUTED_VALUE"""),"-")</f>
        <v>-</v>
      </c>
      <c r="L49" s="8" t="str">
        <f ca="1">IFERROR(__xludf.DUMMYFUNCTION("""COMPUTED_VALUE"""),"Fitted")</f>
        <v>Fitted</v>
      </c>
      <c r="M49" s="8" t="str">
        <f ca="1">IFERROR(__xludf.DUMMYFUNCTION("""COMPUTED_VALUE"""),"LR 4/28D")</f>
        <v>LR 4/28D</v>
      </c>
      <c r="N49" s="8" t="str">
        <f ca="1">IFERROR(__xludf.DUMMYFUNCTION("""COMPUTED_VALUE"""),"Check")</f>
        <v>Check</v>
      </c>
      <c r="O49" s="8" t="str">
        <f ca="1">IFERROR(__xludf.DUMMYFUNCTION("""COMPUTED_VALUE"""),"B.offers")</f>
        <v>B.offers</v>
      </c>
    </row>
    <row r="50" spans="1:15" ht="15.75" customHeight="1" x14ac:dyDescent="0.25">
      <c r="A50" s="8" t="str">
        <f ca="1">IFERROR(__xludf.DUMMYFUNCTION("""COMPUTED_VALUE"""),"TA 115406/09")</f>
        <v>TA 115406/09</v>
      </c>
      <c r="B50" s="8" t="str">
        <f ca="1">IFERROR(__xludf.DUMMYFUNCTION("""COMPUTED_VALUE"""),"LR2 Aframax Tanker")</f>
        <v>LR2 Aframax Tanker</v>
      </c>
      <c r="C50" s="9">
        <f ca="1">IFERROR(__xludf.DUMMYFUNCTION("""COMPUTED_VALUE"""),115406)</f>
        <v>115406</v>
      </c>
      <c r="D50" s="8" t="str">
        <f ca="1">IFERROR(__xludf.DUMMYFUNCTION("""COMPUTED_VALUE"""),"2009-Korea")</f>
        <v>2009-Korea</v>
      </c>
      <c r="E50" s="8" t="str">
        <f ca="1">IFERROR(__xludf.DUMMYFUNCTION("""COMPUTED_VALUE"""),"249.9 x 44.00")</f>
        <v>249.9 x 44.00</v>
      </c>
      <c r="F50" s="8" t="str">
        <f ca="1">IFERROR(__xludf.DUMMYFUNCTION("""COMPUTED_VALUE"""),"14")</f>
        <v>14</v>
      </c>
      <c r="G50" s="8">
        <f ca="1">IFERROR(__xludf.DUMMYFUNCTION("""COMPUTED_VALUE"""),126211)</f>
        <v>126211</v>
      </c>
      <c r="H50" s="8" t="str">
        <f ca="1">IFERROR(__xludf.DUMMYFUNCTION("""COMPUTED_VALUE"""),"Y/N")</f>
        <v>Y/N</v>
      </c>
      <c r="I50" s="8" t="str">
        <f ca="1">IFERROR(__xludf.DUMMYFUNCTION("""COMPUTED_VALUE"""),"3 x 3000")</f>
        <v>3 x 3000</v>
      </c>
      <c r="J50" s="8" t="str">
        <f ca="1">IFERROR(__xludf.DUMMYFUNCTION("""COMPUTED_VALUE"""),"MAN-B&amp;W")</f>
        <v>MAN-B&amp;W</v>
      </c>
      <c r="K50" s="8" t="str">
        <f ca="1">IFERROR(__xludf.DUMMYFUNCTION("""COMPUTED_VALUE"""),"12.5k/34t IFO")</f>
        <v>12.5k/34t IFO</v>
      </c>
      <c r="L50" s="8" t="str">
        <f ca="1">IFERROR(__xludf.DUMMYFUNCTION("""COMPUTED_VALUE"""),"To be chkd")</f>
        <v>To be chkd</v>
      </c>
      <c r="M50" s="8" t="str">
        <f ca="1">IFERROR(__xludf.DUMMYFUNCTION("""COMPUTED_VALUE"""),"NV 6/29D")</f>
        <v>NV 6/29D</v>
      </c>
      <c r="N50" s="8" t="str">
        <f ca="1">IFERROR(__xludf.DUMMYFUNCTION("""COMPUTED_VALUE"""),"Goteborg/Sweden")</f>
        <v>Goteborg/Sweden</v>
      </c>
      <c r="O50" s="8" t="str">
        <f ca="1">IFERROR(__xludf.DUMMYFUNCTION("""COMPUTED_VALUE"""),"35.5-34.5 m")</f>
        <v>35.5-34.5 m</v>
      </c>
    </row>
    <row r="51" spans="1:15" ht="15.75" customHeight="1" x14ac:dyDescent="0.25">
      <c r="A51" s="8" t="str">
        <f ca="1">IFERROR(__xludf.DUMMYFUNCTION("""COMPUTED_VALUE"""),"TA 115395/09")</f>
        <v>TA 115395/09</v>
      </c>
      <c r="B51" s="8" t="str">
        <f ca="1">IFERROR(__xludf.DUMMYFUNCTION("""COMPUTED_VALUE"""),"LR2 Aframax Tanker")</f>
        <v>LR2 Aframax Tanker</v>
      </c>
      <c r="C51" s="9">
        <f ca="1">IFERROR(__xludf.DUMMYFUNCTION("""COMPUTED_VALUE"""),115395)</f>
        <v>115395</v>
      </c>
      <c r="D51" s="8" t="str">
        <f ca="1">IFERROR(__xludf.DUMMYFUNCTION("""COMPUTED_VALUE"""),"2009-Korea")</f>
        <v>2009-Korea</v>
      </c>
      <c r="E51" s="8" t="str">
        <f ca="1">IFERROR(__xludf.DUMMYFUNCTION("""COMPUTED_VALUE"""),"249.9 x 44.0")</f>
        <v>249.9 x 44.0</v>
      </c>
      <c r="F51" s="8" t="str">
        <f ca="1">IFERROR(__xludf.DUMMYFUNCTION("""COMPUTED_VALUE"""),"14")</f>
        <v>14</v>
      </c>
      <c r="G51" s="8">
        <f ca="1">IFERROR(__xludf.DUMMYFUNCTION("""COMPUTED_VALUE"""),126203)</f>
        <v>126203</v>
      </c>
      <c r="H51" s="8" t="str">
        <f ca="1">IFERROR(__xludf.DUMMYFUNCTION("""COMPUTED_VALUE"""),"Y/N")</f>
        <v>Y/N</v>
      </c>
      <c r="I51" s="8" t="str">
        <f ca="1">IFERROR(__xludf.DUMMYFUNCTION("""COMPUTED_VALUE"""),"3 x 3000")</f>
        <v>3 x 3000</v>
      </c>
      <c r="J51" s="8" t="str">
        <f ca="1">IFERROR(__xludf.DUMMYFUNCTION("""COMPUTED_VALUE"""),"MAN-B&amp;W")</f>
        <v>MAN-B&amp;W</v>
      </c>
      <c r="K51" s="8" t="str">
        <f ca="1">IFERROR(__xludf.DUMMYFUNCTION("""COMPUTED_VALUE"""),"12.5k/34 t IFO")</f>
        <v>12.5k/34 t IFO</v>
      </c>
      <c r="L51" s="8" t="str">
        <f ca="1">IFERROR(__xludf.DUMMYFUNCTION("""COMPUTED_VALUE"""),"To be chkd")</f>
        <v>To be chkd</v>
      </c>
      <c r="M51" s="8" t="str">
        <f ca="1">IFERROR(__xludf.DUMMYFUNCTION("""COMPUTED_VALUE"""),"AB 3/29D")</f>
        <v>AB 3/29D</v>
      </c>
      <c r="N51" s="8" t="str">
        <f ca="1">IFERROR(__xludf.DUMMYFUNCTION("""COMPUTED_VALUE"""),"Fujairah")</f>
        <v>Fujairah</v>
      </c>
      <c r="O51" s="8" t="str">
        <f ca="1">IFERROR(__xludf.DUMMYFUNCTION("""COMPUTED_VALUE"""),"35.5-34.5 m")</f>
        <v>35.5-34.5 m</v>
      </c>
    </row>
    <row r="52" spans="1:15" ht="15.75" customHeight="1" x14ac:dyDescent="0.25">
      <c r="A52" s="8" t="str">
        <f ca="1">IFERROR(__xludf.DUMMYFUNCTION("""COMPUTED_VALUE"""),"TA 115123/10")</f>
        <v>TA 115123/10</v>
      </c>
      <c r="B52" s="8" t="str">
        <f ca="1">IFERROR(__xludf.DUMMYFUNCTION("""COMPUTED_VALUE"""),"LR2 Aframax Tanker")</f>
        <v>LR2 Aframax Tanker</v>
      </c>
      <c r="C52" s="9">
        <f ca="1">IFERROR(__xludf.DUMMYFUNCTION("""COMPUTED_VALUE"""),115123)</f>
        <v>115123</v>
      </c>
      <c r="D52" s="8" t="str">
        <f ca="1">IFERROR(__xludf.DUMMYFUNCTION("""COMPUTED_VALUE"""),"2010-Japan")</f>
        <v>2010-Japan</v>
      </c>
      <c r="E52" s="8" t="str">
        <f ca="1">IFERROR(__xludf.DUMMYFUNCTION("""COMPUTED_VALUE"""),"243.8 x 42.00")</f>
        <v>243.8 x 42.00</v>
      </c>
      <c r="F52" s="8" t="str">
        <f ca="1">IFERROR(__xludf.DUMMYFUNCTION("""COMPUTED_VALUE"""),"12")</f>
        <v>12</v>
      </c>
      <c r="G52" s="8">
        <f ca="1">IFERROR(__xludf.DUMMYFUNCTION("""COMPUTED_VALUE"""),119528)</f>
        <v>119528</v>
      </c>
      <c r="H52" s="8" t="str">
        <f ca="1">IFERROR(__xludf.DUMMYFUNCTION("""COMPUTED_VALUE"""),"Y/N")</f>
        <v>Y/N</v>
      </c>
      <c r="I52" s="8" t="str">
        <f ca="1">IFERROR(__xludf.DUMMYFUNCTION("""COMPUTED_VALUE"""),"3 x 2500")</f>
        <v>3 x 2500</v>
      </c>
      <c r="J52" s="8" t="str">
        <f ca="1">IFERROR(__xludf.DUMMYFUNCTION("""COMPUTED_VALUE"""),"MAN-B&amp;W")</f>
        <v>MAN-B&amp;W</v>
      </c>
      <c r="K52" s="8" t="str">
        <f ca="1">IFERROR(__xludf.DUMMYFUNCTION("""COMPUTED_VALUE"""),"13k/36t IFO")</f>
        <v>13k/36t IFO</v>
      </c>
      <c r="L52" s="8" t="str">
        <f ca="1">IFERROR(__xludf.DUMMYFUNCTION("""COMPUTED_VALUE"""),"Fitted")</f>
        <v>Fitted</v>
      </c>
      <c r="M52" s="8" t="str">
        <f ca="1">IFERROR(__xludf.DUMMYFUNCTION("""COMPUTED_VALUE"""),"LR 1/30D")</f>
        <v>LR 1/30D</v>
      </c>
      <c r="N52" s="8" t="str">
        <f ca="1">IFERROR(__xludf.DUMMYFUNCTION("""COMPUTED_VALUE"""),"Milford Haven, UK")</f>
        <v>Milford Haven, UK</v>
      </c>
      <c r="O52" s="8" t="str">
        <f ca="1">IFERROR(__xludf.DUMMYFUNCTION("""COMPUTED_VALUE"""),"B.offers")</f>
        <v>B.offers</v>
      </c>
    </row>
    <row r="53" spans="1:15" ht="15.75" customHeight="1" x14ac:dyDescent="0.25">
      <c r="A53" s="8" t="str">
        <f ca="1">IFERROR(__xludf.DUMMYFUNCTION("""COMPUTED_VALUE"""),"TA 114542/11")</f>
        <v>TA 114542/11</v>
      </c>
      <c r="B53" s="8" t="str">
        <f ca="1">IFERROR(__xludf.DUMMYFUNCTION("""COMPUTED_VALUE"""),"LR2 Aframax Tanker")</f>
        <v>LR2 Aframax Tanker</v>
      </c>
      <c r="C53" s="9">
        <f ca="1">IFERROR(__xludf.DUMMYFUNCTION("""COMPUTED_VALUE"""),114542)</f>
        <v>114542</v>
      </c>
      <c r="D53" s="8" t="str">
        <f ca="1">IFERROR(__xludf.DUMMYFUNCTION("""COMPUTED_VALUE"""),"2011-Korea")</f>
        <v>2011-Korea</v>
      </c>
      <c r="E53" s="8" t="str">
        <f ca="1">IFERROR(__xludf.DUMMYFUNCTION("""COMPUTED_VALUE"""),"243.8 x 42.0")</f>
        <v>243.8 x 42.0</v>
      </c>
      <c r="F53" s="8" t="str">
        <f ca="1">IFERROR(__xludf.DUMMYFUNCTION("""COMPUTED_VALUE"""),"14")</f>
        <v>14</v>
      </c>
      <c r="G53" s="8">
        <f ca="1">IFERROR(__xludf.DUMMYFUNCTION("""COMPUTED_VALUE"""),119530)</f>
        <v>119530</v>
      </c>
      <c r="H53" s="8" t="str">
        <f ca="1">IFERROR(__xludf.DUMMYFUNCTION("""COMPUTED_VALUE"""),"Y/N")</f>
        <v>Y/N</v>
      </c>
      <c r="I53" s="8" t="str">
        <f ca="1">IFERROR(__xludf.DUMMYFUNCTION("""COMPUTED_VALUE"""),"3 x 2500")</f>
        <v>3 x 2500</v>
      </c>
      <c r="J53" s="8" t="str">
        <f ca="1">IFERROR(__xludf.DUMMYFUNCTION("""COMPUTED_VALUE"""),"MAN-B&amp;W")</f>
        <v>MAN-B&amp;W</v>
      </c>
      <c r="K53" s="8" t="str">
        <f ca="1">IFERROR(__xludf.DUMMYFUNCTION("""COMPUTED_VALUE"""),"-")</f>
        <v>-</v>
      </c>
      <c r="L53" s="8" t="str">
        <f ca="1">IFERROR(__xludf.DUMMYFUNCTION("""COMPUTED_VALUE"""),"Scrubber")</f>
        <v>Scrubber</v>
      </c>
      <c r="M53" s="8" t="str">
        <f ca="1">IFERROR(__xludf.DUMMYFUNCTION("""COMPUTED_VALUE"""),"AB 7/26D")</f>
        <v>AB 7/26D</v>
      </c>
      <c r="N53" s="8" t="str">
        <f ca="1">IFERROR(__xludf.DUMMYFUNCTION("""COMPUTED_VALUE"""),"Med")</f>
        <v>Med</v>
      </c>
      <c r="O53" s="8" t="str">
        <f ca="1">IFERROR(__xludf.DUMMYFUNCTION("""COMPUTED_VALUE"""),"B.offers")</f>
        <v>B.offers</v>
      </c>
    </row>
    <row r="54" spans="1:15" ht="15.75" customHeight="1" x14ac:dyDescent="0.25">
      <c r="A54" s="8" t="str">
        <f ca="1">IFERROR(__xludf.DUMMYFUNCTION("""COMPUTED_VALUE"""),"TA 109010/09")</f>
        <v>TA 109010/09</v>
      </c>
      <c r="B54" s="8" t="str">
        <f ca="1">IFERROR(__xludf.DUMMYFUNCTION("""COMPUTED_VALUE"""),"LR2 Aframax Tanker")</f>
        <v>LR2 Aframax Tanker</v>
      </c>
      <c r="C54" s="9">
        <f ca="1">IFERROR(__xludf.DUMMYFUNCTION("""COMPUTED_VALUE"""),109010)</f>
        <v>109010</v>
      </c>
      <c r="D54" s="8" t="str">
        <f ca="1">IFERROR(__xludf.DUMMYFUNCTION("""COMPUTED_VALUE"""),"2009-China")</f>
        <v>2009-China</v>
      </c>
      <c r="E54" s="8" t="str">
        <f ca="1">IFERROR(__xludf.DUMMYFUNCTION("""COMPUTED_VALUE"""),"243.0 x 42.0 ")</f>
        <v xml:space="preserve">243.0 x 42.0 </v>
      </c>
      <c r="F54" s="8" t="str">
        <f ca="1">IFERROR(__xludf.DUMMYFUNCTION("""COMPUTED_VALUE"""),"14")</f>
        <v>14</v>
      </c>
      <c r="G54" s="8">
        <f ca="1">IFERROR(__xludf.DUMMYFUNCTION("""COMPUTED_VALUE"""),123030)</f>
        <v>123030</v>
      </c>
      <c r="H54" s="8" t="str">
        <f ca="1">IFERROR(__xludf.DUMMYFUNCTION("""COMPUTED_VALUE"""),"Y/N")</f>
        <v>Y/N</v>
      </c>
      <c r="I54" s="8" t="str">
        <f ca="1">IFERROR(__xludf.DUMMYFUNCTION("""COMPUTED_VALUE"""),"3 x 2500")</f>
        <v>3 x 2500</v>
      </c>
      <c r="J54" s="8" t="str">
        <f ca="1">IFERROR(__xludf.DUMMYFUNCTION("""COMPUTED_VALUE"""),"MAN-B&amp;W")</f>
        <v>MAN-B&amp;W</v>
      </c>
      <c r="K54" s="8" t="str">
        <f ca="1">IFERROR(__xludf.DUMMYFUNCTION("""COMPUTED_VALUE"""),"13k/40t IFO")</f>
        <v>13k/40t IFO</v>
      </c>
      <c r="L54" s="8" t="str">
        <f ca="1">IFERROR(__xludf.DUMMYFUNCTION("""COMPUTED_VALUE"""),"Scrubber")</f>
        <v>Scrubber</v>
      </c>
      <c r="M54" s="8" t="str">
        <f ca="1">IFERROR(__xludf.DUMMYFUNCTION("""COMPUTED_VALUE"""),"RINA 5/27D")</f>
        <v>RINA 5/27D</v>
      </c>
      <c r="N54" s="8" t="str">
        <f ca="1">IFERROR(__xludf.DUMMYFUNCTION("""COMPUTED_VALUE"""),"Algeciras, Spain")</f>
        <v>Algeciras, Spain</v>
      </c>
      <c r="O54" s="8" t="str">
        <f ca="1">IFERROR(__xludf.DUMMYFUNCTION("""COMPUTED_VALUE"""),"B.offers")</f>
        <v>B.offers</v>
      </c>
    </row>
    <row r="55" spans="1:15" ht="15.75" customHeight="1" x14ac:dyDescent="0.25">
      <c r="A55" s="8" t="str">
        <f ca="1">IFERROR(__xludf.DUMMYFUNCTION("""COMPUTED_VALUE"""),"TA 108994/12")</f>
        <v>TA 108994/12</v>
      </c>
      <c r="B55" s="8" t="str">
        <f ca="1">IFERROR(__xludf.DUMMYFUNCTION("""COMPUTED_VALUE"""),"LR2 Aframax Tanker")</f>
        <v>LR2 Aframax Tanker</v>
      </c>
      <c r="C55" s="9">
        <f ca="1">IFERROR(__xludf.DUMMYFUNCTION("""COMPUTED_VALUE"""),108994)</f>
        <v>108994</v>
      </c>
      <c r="D55" s="8" t="str">
        <f ca="1">IFERROR(__xludf.DUMMYFUNCTION("""COMPUTED_VALUE"""),"2012-Japan")</f>
        <v>2012-Japan</v>
      </c>
      <c r="E55" s="8" t="str">
        <f ca="1">IFERROR(__xludf.DUMMYFUNCTION("""COMPUTED_VALUE"""),"249.9 x 44.0")</f>
        <v>249.9 x 44.0</v>
      </c>
      <c r="F55" s="8" t="str">
        <f ca="1">IFERROR(__xludf.DUMMYFUNCTION("""COMPUTED_VALUE"""),"15")</f>
        <v>15</v>
      </c>
      <c r="G55" s="8">
        <f ca="1">IFERROR(__xludf.DUMMYFUNCTION("""COMPUTED_VALUE"""),125108)</f>
        <v>125108</v>
      </c>
      <c r="H55" s="8" t="str">
        <f ca="1">IFERROR(__xludf.DUMMYFUNCTION("""COMPUTED_VALUE"""),"N/Y Epoxy")</f>
        <v>N/Y Epoxy</v>
      </c>
      <c r="I55" s="8" t="str">
        <f ca="1">IFERROR(__xludf.DUMMYFUNCTION("""COMPUTED_VALUE"""),"3 x 3000")</f>
        <v>3 x 3000</v>
      </c>
      <c r="J55" s="8" t="str">
        <f ca="1">IFERROR(__xludf.DUMMYFUNCTION("""COMPUTED_VALUE"""),"MAN-B&amp;W")</f>
        <v>MAN-B&amp;W</v>
      </c>
      <c r="K55" s="8" t="str">
        <f ca="1">IFERROR(__xludf.DUMMYFUNCTION("""COMPUTED_VALUE"""),"15k/52.6t IFO")</f>
        <v>15k/52.6t IFO</v>
      </c>
      <c r="L55" s="8" t="str">
        <f ca="1">IFERROR(__xludf.DUMMYFUNCTION("""COMPUTED_VALUE"""),"Fitted")</f>
        <v>Fitted</v>
      </c>
      <c r="M55" s="8" t="str">
        <f ca="1">IFERROR(__xludf.DUMMYFUNCTION("""COMPUTED_VALUE"""),"AB 6/27D")</f>
        <v>AB 6/27D</v>
      </c>
      <c r="N55" s="8" t="str">
        <f ca="1">IFERROR(__xludf.DUMMYFUNCTION("""COMPUTED_VALUE"""),"S.China")</f>
        <v>S.China</v>
      </c>
      <c r="O55" s="8" t="str">
        <f ca="1">IFERROR(__xludf.DUMMYFUNCTION("""COMPUTED_VALUE"""),"40.0 m")</f>
        <v>40.0 m</v>
      </c>
    </row>
    <row r="56" spans="1:15" ht="15.75" customHeight="1" x14ac:dyDescent="0.25">
      <c r="A56" s="8" t="str">
        <f ca="1">IFERROR(__xludf.DUMMYFUNCTION("""COMPUTED_VALUE"""),"TA 108865/12")</f>
        <v>TA 108865/12</v>
      </c>
      <c r="B56" s="8" t="str">
        <f ca="1">IFERROR(__xludf.DUMMYFUNCTION("""COMPUTED_VALUE"""),"LR2 Aframax Tanker")</f>
        <v>LR2 Aframax Tanker</v>
      </c>
      <c r="C56" s="9">
        <f ca="1">IFERROR(__xludf.DUMMYFUNCTION("""COMPUTED_VALUE"""),108865)</f>
        <v>108865</v>
      </c>
      <c r="D56" s="8" t="str">
        <f ca="1">IFERROR(__xludf.DUMMYFUNCTION("""COMPUTED_VALUE"""),"2012-Japan")</f>
        <v>2012-Japan</v>
      </c>
      <c r="E56" s="8" t="str">
        <f ca="1">IFERROR(__xludf.DUMMYFUNCTION("""COMPUTED_VALUE"""),"249.9 x 44.0")</f>
        <v>249.9 x 44.0</v>
      </c>
      <c r="F56" s="8" t="str">
        <f ca="1">IFERROR(__xludf.DUMMYFUNCTION("""COMPUTED_VALUE"""),"15 ")</f>
        <v xml:space="preserve">15 </v>
      </c>
      <c r="G56" s="8">
        <f ca="1">IFERROR(__xludf.DUMMYFUNCTION("""COMPUTED_VALUE"""),125108)</f>
        <v>125108</v>
      </c>
      <c r="H56" s="8" t="str">
        <f ca="1">IFERROR(__xludf.DUMMYFUNCTION("""COMPUTED_VALUE"""),"N/Y Epoxy")</f>
        <v>N/Y Epoxy</v>
      </c>
      <c r="I56" s="8" t="str">
        <f ca="1">IFERROR(__xludf.DUMMYFUNCTION("""COMPUTED_VALUE"""),"3 x 3000")</f>
        <v>3 x 3000</v>
      </c>
      <c r="J56" s="8" t="str">
        <f ca="1">IFERROR(__xludf.DUMMYFUNCTION("""COMPUTED_VALUE"""),"MAN-B&amp;W")</f>
        <v>MAN-B&amp;W</v>
      </c>
      <c r="K56" s="8" t="str">
        <f ca="1">IFERROR(__xludf.DUMMYFUNCTION("""COMPUTED_VALUE"""),"15k/52.6t IFO")</f>
        <v>15k/52.6t IFO</v>
      </c>
      <c r="L56" s="8" t="str">
        <f ca="1">IFERROR(__xludf.DUMMYFUNCTION("""COMPUTED_VALUE"""),"Fitted")</f>
        <v>Fitted</v>
      </c>
      <c r="M56" s="8" t="str">
        <f ca="1">IFERROR(__xludf.DUMMYFUNCTION("""COMPUTED_VALUE"""),"AB 1/27D")</f>
        <v>AB 1/27D</v>
      </c>
      <c r="N56" s="8" t="str">
        <f ca="1">IFERROR(__xludf.DUMMYFUNCTION("""COMPUTED_VALUE"""),"Ras Laffan")</f>
        <v>Ras Laffan</v>
      </c>
      <c r="O56" s="8" t="str">
        <f ca="1">IFERROR(__xludf.DUMMYFUNCTION("""COMPUTED_VALUE"""),"40.0 m")</f>
        <v>40.0 m</v>
      </c>
    </row>
    <row r="57" spans="1:15" ht="15.75" customHeight="1" x14ac:dyDescent="0.25">
      <c r="A57" s="8" t="str">
        <f ca="1">IFERROR(__xludf.DUMMYFUNCTION("""COMPUTED_VALUE"""),"TA 107600/10")</f>
        <v>TA 107600/10</v>
      </c>
      <c r="B57" s="8" t="str">
        <f ca="1">IFERROR(__xludf.DUMMYFUNCTION("""COMPUTED_VALUE"""),"LR2 Aframax Tanker")</f>
        <v>LR2 Aframax Tanker</v>
      </c>
      <c r="C57" s="9">
        <f ca="1">IFERROR(__xludf.DUMMYFUNCTION("""COMPUTED_VALUE"""),107600)</f>
        <v>107600</v>
      </c>
      <c r="D57" s="8" t="str">
        <f ca="1">IFERROR(__xludf.DUMMYFUNCTION("""COMPUTED_VALUE"""),"3.2010-Japan")</f>
        <v>3.2010-Japan</v>
      </c>
      <c r="E57" s="8" t="str">
        <f ca="1">IFERROR(__xludf.DUMMYFUNCTION("""COMPUTED_VALUE"""),"243.8 x 42.0")</f>
        <v>243.8 x 42.0</v>
      </c>
      <c r="F57" s="8" t="str">
        <f ca="1">IFERROR(__xludf.DUMMYFUNCTION("""COMPUTED_VALUE"""),"14 ")</f>
        <v xml:space="preserve">14 </v>
      </c>
      <c r="G57" s="8">
        <f ca="1">IFERROR(__xludf.DUMMYFUNCTION("""COMPUTED_VALUE"""),121065)</f>
        <v>121065</v>
      </c>
      <c r="H57" s="8" t="str">
        <f ca="1">IFERROR(__xludf.DUMMYFUNCTION("""COMPUTED_VALUE"""),"Y/N")</f>
        <v>Y/N</v>
      </c>
      <c r="I57" s="8" t="str">
        <f ca="1">IFERROR(__xludf.DUMMYFUNCTION("""COMPUTED_VALUE"""),"3 x 3000")</f>
        <v>3 x 3000</v>
      </c>
      <c r="J57" s="8" t="str">
        <f ca="1">IFERROR(__xludf.DUMMYFUNCTION("""COMPUTED_VALUE"""),"MAN-B&amp;W")</f>
        <v>MAN-B&amp;W</v>
      </c>
      <c r="K57" s="8" t="str">
        <f ca="1">IFERROR(__xludf.DUMMYFUNCTION("""COMPUTED_VALUE"""),"15k/50t IFO")</f>
        <v>15k/50t IFO</v>
      </c>
      <c r="L57" s="8" t="str">
        <f ca="1">IFERROR(__xludf.DUMMYFUNCTION("""COMPUTED_VALUE"""),"Fitted")</f>
        <v>Fitted</v>
      </c>
      <c r="M57" s="8" t="str">
        <f ca="1">IFERROR(__xludf.DUMMYFUNCTION("""COMPUTED_VALUE"""),"NV 3/25D")</f>
        <v>NV 3/25D</v>
      </c>
      <c r="N57" s="8" t="str">
        <f ca="1">IFERROR(__xludf.DUMMYFUNCTION("""COMPUTED_VALUE"""),"AG")</f>
        <v>AG</v>
      </c>
      <c r="O57" s="8" t="str">
        <f ca="1">IFERROR(__xludf.DUMMYFUNCTION("""COMPUTED_VALUE"""),"B.offers")</f>
        <v>B.offers</v>
      </c>
    </row>
    <row r="58" spans="1:15" ht="15.75" customHeight="1" x14ac:dyDescent="0.25">
      <c r="A58" s="8" t="str">
        <f ca="1">IFERROR(__xludf.DUMMYFUNCTION("""COMPUTED_VALUE"""),"TA 107169/97")</f>
        <v>TA 107169/97</v>
      </c>
      <c r="B58" s="8" t="str">
        <f ca="1">IFERROR(__xludf.DUMMYFUNCTION("""COMPUTED_VALUE"""),"LR2 Aframax Tanker")</f>
        <v>LR2 Aframax Tanker</v>
      </c>
      <c r="C58" s="9">
        <f ca="1">IFERROR(__xludf.DUMMYFUNCTION("""COMPUTED_VALUE"""),107169)</f>
        <v>107169</v>
      </c>
      <c r="D58" s="8" t="str">
        <f ca="1">IFERROR(__xludf.DUMMYFUNCTION("""COMPUTED_VALUE"""),"11.1997-Japan")</f>
        <v>11.1997-Japan</v>
      </c>
      <c r="E58" s="8" t="str">
        <f ca="1">IFERROR(__xludf.DUMMYFUNCTION("""COMPUTED_VALUE"""),"246.8 x 41.97")</f>
        <v>246.8 x 41.97</v>
      </c>
      <c r="F58" s="8" t="str">
        <f ca="1">IFERROR(__xludf.DUMMYFUNCTION("""COMPUTED_VALUE"""),"13")</f>
        <v>13</v>
      </c>
      <c r="G58" s="8">
        <f ca="1">IFERROR(__xludf.DUMMYFUNCTION("""COMPUTED_VALUE"""),118566)</f>
        <v>118566</v>
      </c>
      <c r="H58" s="8" t="str">
        <f ca="1">IFERROR(__xludf.DUMMYFUNCTION("""COMPUTED_VALUE"""),"Y/N")</f>
        <v>Y/N</v>
      </c>
      <c r="I58" s="8" t="str">
        <f ca="1">IFERROR(__xludf.DUMMYFUNCTION("""COMPUTED_VALUE"""),"3 x 2500")</f>
        <v>3 x 2500</v>
      </c>
      <c r="J58" s="8" t="str">
        <f ca="1">IFERROR(__xludf.DUMMYFUNCTION("""COMPUTED_VALUE"""),"B&amp;W")</f>
        <v>B&amp;W</v>
      </c>
      <c r="K58" s="8" t="str">
        <f ca="1">IFERROR(__xludf.DUMMYFUNCTION("""COMPUTED_VALUE"""),"-")</f>
        <v>-</v>
      </c>
      <c r="L58" s="8" t="str">
        <f ca="1">IFERROR(__xludf.DUMMYFUNCTION("""COMPUTED_VALUE"""),"Fitted")</f>
        <v>Fitted</v>
      </c>
      <c r="M58" s="8" t="str">
        <f ca="1">IFERROR(__xludf.DUMMYFUNCTION("""COMPUTED_VALUE"""),"KR 5.27D")</f>
        <v>KR 5.27D</v>
      </c>
      <c r="N58" s="8" t="str">
        <f ca="1">IFERROR(__xludf.DUMMYFUNCTION("""COMPUTED_VALUE"""),"Singapore")</f>
        <v>Singapore</v>
      </c>
      <c r="O58" s="8" t="str">
        <f ca="1">IFERROR(__xludf.DUMMYFUNCTION("""COMPUTED_VALUE"""),"13.8 m")</f>
        <v>13.8 m</v>
      </c>
    </row>
    <row r="59" spans="1:15" ht="15.75" customHeight="1" x14ac:dyDescent="0.25">
      <c r="A59" s="8" t="str">
        <f ca="1">IFERROR(__xludf.DUMMYFUNCTION("""COMPUTED_VALUE"""),"TA 106547/97 TC")</f>
        <v>TA 106547/97 TC</v>
      </c>
      <c r="B59" s="8" t="str">
        <f ca="1">IFERROR(__xludf.DUMMYFUNCTION("""COMPUTED_VALUE"""),"LR2 Aframax Tanker for Storage")</f>
        <v>LR2 Aframax Tanker for Storage</v>
      </c>
      <c r="C59" s="9">
        <f ca="1">IFERROR(__xludf.DUMMYFUNCTION("""COMPUTED_VALUE"""),106547)</f>
        <v>106547</v>
      </c>
      <c r="D59" s="8" t="str">
        <f ca="1">IFERROR(__xludf.DUMMYFUNCTION("""COMPUTED_VALUE"""),"1997-Japan")</f>
        <v>1997-Japan</v>
      </c>
      <c r="E59" s="8" t="str">
        <f ca="1">IFERROR(__xludf.DUMMYFUNCTION("""COMPUTED_VALUE"""),"243.0 x 42.00")</f>
        <v>243.0 x 42.00</v>
      </c>
      <c r="F59" s="8" t="str">
        <f ca="1">IFERROR(__xludf.DUMMYFUNCTION("""COMPUTED_VALUE"""),"14")</f>
        <v>14</v>
      </c>
      <c r="G59" s="8">
        <f ca="1">IFERROR(__xludf.DUMMYFUNCTION("""COMPUTED_VALUE"""),117831)</f>
        <v>117831</v>
      </c>
      <c r="H59" s="8" t="str">
        <f ca="1">IFERROR(__xludf.DUMMYFUNCTION("""COMPUTED_VALUE"""),"N/N")</f>
        <v>N/N</v>
      </c>
      <c r="I59" s="8" t="str">
        <f ca="1">IFERROR(__xludf.DUMMYFUNCTION("""COMPUTED_VALUE"""),"3 x 2500")</f>
        <v>3 x 2500</v>
      </c>
      <c r="J59" s="8" t="str">
        <f ca="1">IFERROR(__xludf.DUMMYFUNCTION("""COMPUTED_VALUE"""),"Sulzer")</f>
        <v>Sulzer</v>
      </c>
      <c r="K59" s="8" t="str">
        <f ca="1">IFERROR(__xludf.DUMMYFUNCTION("""COMPUTED_VALUE"""),"-")</f>
        <v>-</v>
      </c>
      <c r="L59" s="8" t="str">
        <f ca="1">IFERROR(__xludf.DUMMYFUNCTION("""COMPUTED_VALUE"""),"Not yet")</f>
        <v>Not yet</v>
      </c>
      <c r="M59" s="8" t="str">
        <f ca="1">IFERROR(__xludf.DUMMYFUNCTION("""COMPUTED_VALUE"""),"MSR 10/29D")</f>
        <v>MSR 10/29D</v>
      </c>
      <c r="N59" s="8" t="str">
        <f ca="1">IFERROR(__xludf.DUMMYFUNCTION("""COMPUTED_VALUE"""),"Sale or TC for Stor")</f>
        <v>Sale or TC for Stor</v>
      </c>
      <c r="O59" s="8" t="str">
        <f ca="1">IFERROR(__xludf.DUMMYFUNCTION("""COMPUTED_VALUE"""),"9.0 M")</f>
        <v>9.0 M</v>
      </c>
    </row>
    <row r="60" spans="1:15" ht="15.75" customHeight="1" x14ac:dyDescent="0.25">
      <c r="A60" s="8" t="str">
        <f ca="1">IFERROR(__xludf.DUMMYFUNCTION("""COMPUTED_VALUE"""),"TA 105994/98")</f>
        <v>TA 105994/98</v>
      </c>
      <c r="B60" s="8" t="str">
        <f ca="1">IFERROR(__xludf.DUMMYFUNCTION("""COMPUTED_VALUE"""),"LR2 Aframax Tanker")</f>
        <v>LR2 Aframax Tanker</v>
      </c>
      <c r="C60" s="9">
        <f ca="1">IFERROR(__xludf.DUMMYFUNCTION("""COMPUTED_VALUE"""),105994)</f>
        <v>105994</v>
      </c>
      <c r="D60" s="8" t="str">
        <f ca="1">IFERROR(__xludf.DUMMYFUNCTION("""COMPUTED_VALUE"""),"8.1998-Korea")</f>
        <v>8.1998-Korea</v>
      </c>
      <c r="E60" s="8" t="str">
        <f ca="1">IFERROR(__xludf.DUMMYFUNCTION("""COMPUTED_VALUE"""),"243.8 x 42.00")</f>
        <v>243.8 x 42.00</v>
      </c>
      <c r="F60" s="8" t="str">
        <f ca="1">IFERROR(__xludf.DUMMYFUNCTION("""COMPUTED_VALUE"""),"14")</f>
        <v>14</v>
      </c>
      <c r="G60" s="8">
        <f ca="1">IFERROR(__xludf.DUMMYFUNCTION("""COMPUTED_VALUE"""),115536)</f>
        <v>115536</v>
      </c>
      <c r="H60" s="8" t="str">
        <f ca="1">IFERROR(__xludf.DUMMYFUNCTION("""COMPUTED_VALUE"""),"Y/N")</f>
        <v>Y/N</v>
      </c>
      <c r="I60" s="8" t="str">
        <f ca="1">IFERROR(__xludf.DUMMYFUNCTION("""COMPUTED_VALUE"""),"3 x 3000")</f>
        <v>3 x 3000</v>
      </c>
      <c r="J60" s="8" t="str">
        <f ca="1">IFERROR(__xludf.DUMMYFUNCTION("""COMPUTED_VALUE"""),"B&amp;W")</f>
        <v>B&amp;W</v>
      </c>
      <c r="K60" s="8" t="str">
        <f ca="1">IFERROR(__xludf.DUMMYFUNCTION("""COMPUTED_VALUE"""),"-")</f>
        <v>-</v>
      </c>
      <c r="L60" s="8" t="str">
        <f ca="1">IFERROR(__xludf.DUMMYFUNCTION("""COMPUTED_VALUE"""),"Fitted")</f>
        <v>Fitted</v>
      </c>
      <c r="M60" s="8" t="str">
        <f ca="1">IFERROR(__xludf.DUMMYFUNCTION("""COMPUTED_VALUE"""),"RI 8.24P")</f>
        <v>RI 8.24P</v>
      </c>
      <c r="N60" s="8" t="str">
        <f ca="1">IFERROR(__xludf.DUMMYFUNCTION("""COMPUTED_VALUE"""),"Carib")</f>
        <v>Carib</v>
      </c>
      <c r="O60" s="8" t="str">
        <f ca="1">IFERROR(__xludf.DUMMYFUNCTION("""COMPUTED_VALUE"""),"B.offers")</f>
        <v>B.offers</v>
      </c>
    </row>
    <row r="61" spans="1:15" ht="15.75" customHeight="1" x14ac:dyDescent="0.25">
      <c r="A61" s="8" t="str">
        <f ca="1">IFERROR(__xludf.DUMMYFUNCTION("""COMPUTED_VALUE"""),"TA 105744/04")</f>
        <v>TA 105744/04</v>
      </c>
      <c r="B61" s="8" t="str">
        <f ca="1">IFERROR(__xludf.DUMMYFUNCTION("""COMPUTED_VALUE"""),"LR2 Aframax Tanker")</f>
        <v>LR2 Aframax Tanker</v>
      </c>
      <c r="C61" s="9">
        <f ca="1">IFERROR(__xludf.DUMMYFUNCTION("""COMPUTED_VALUE"""),105744)</f>
        <v>105744</v>
      </c>
      <c r="D61" s="8" t="str">
        <f ca="1">IFERROR(__xludf.DUMMYFUNCTION("""COMPUTED_VALUE"""),"1.2004-Japan")</f>
        <v>1.2004-Japan</v>
      </c>
      <c r="E61" s="8" t="str">
        <f ca="1">IFERROR(__xludf.DUMMYFUNCTION("""COMPUTED_VALUE"""),"240.0 x 42.00")</f>
        <v>240.0 x 42.00</v>
      </c>
      <c r="F61" s="8" t="str">
        <f ca="1">IFERROR(__xludf.DUMMYFUNCTION("""COMPUTED_VALUE"""),"12")</f>
        <v>12</v>
      </c>
      <c r="G61" s="8">
        <f ca="1">IFERROR(__xludf.DUMMYFUNCTION("""COMPUTED_VALUE"""),115572)</f>
        <v>115572</v>
      </c>
      <c r="H61" s="8" t="str">
        <f ca="1">IFERROR(__xludf.DUMMYFUNCTION("""COMPUTED_VALUE"""),"Y/N")</f>
        <v>Y/N</v>
      </c>
      <c r="I61" s="8" t="str">
        <f ca="1">IFERROR(__xludf.DUMMYFUNCTION("""COMPUTED_VALUE"""),"3 X 2500")</f>
        <v>3 X 2500</v>
      </c>
      <c r="J61" s="8" t="str">
        <f ca="1">IFERROR(__xludf.DUMMYFUNCTION("""COMPUTED_VALUE"""),"Sulzer")</f>
        <v>Sulzer</v>
      </c>
      <c r="K61" s="8" t="str">
        <f ca="1">IFERROR(__xludf.DUMMYFUNCTION("""COMPUTED_VALUE"""),"-")</f>
        <v>-</v>
      </c>
      <c r="L61" s="8" t="str">
        <f ca="1">IFERROR(__xludf.DUMMYFUNCTION("""COMPUTED_VALUE"""),"Fitted")</f>
        <v>Fitted</v>
      </c>
      <c r="M61" s="8" t="str">
        <f ca="1">IFERROR(__xludf.DUMMYFUNCTION("""COMPUTED_VALUE"""),"12.27D")</f>
        <v>12.27D</v>
      </c>
      <c r="N61" s="8" t="str">
        <f ca="1">IFERROR(__xludf.DUMMYFUNCTION("""COMPUTED_VALUE"""),"Check")</f>
        <v>Check</v>
      </c>
      <c r="O61" s="8" t="str">
        <f ca="1">IFERROR(__xludf.DUMMYFUNCTION("""COMPUTED_VALUE"""),"23-21.0 m")</f>
        <v>23-21.0 m</v>
      </c>
    </row>
    <row r="62" spans="1:15" ht="15.75" customHeight="1" x14ac:dyDescent="0.25">
      <c r="A62" s="8" t="str">
        <f ca="1">IFERROR(__xludf.DUMMYFUNCTION("""COMPUTED_VALUE"""),"TA 105346/08")</f>
        <v>TA 105346/08</v>
      </c>
      <c r="B62" s="8" t="str">
        <f ca="1">IFERROR(__xludf.DUMMYFUNCTION("""COMPUTED_VALUE"""),"LR2 Aframax Tanker")</f>
        <v>LR2 Aframax Tanker</v>
      </c>
      <c r="C62" s="9">
        <f ca="1">IFERROR(__xludf.DUMMYFUNCTION("""COMPUTED_VALUE"""),105346)</f>
        <v>105346</v>
      </c>
      <c r="D62" s="8" t="str">
        <f ca="1">IFERROR(__xludf.DUMMYFUNCTION("""COMPUTED_VALUE"""),"2008-jAPAN")</f>
        <v>2008-jAPAN</v>
      </c>
      <c r="E62" s="8" t="str">
        <f ca="1">IFERROR(__xludf.DUMMYFUNCTION("""COMPUTED_VALUE"""),"228.5 X 42.00")</f>
        <v>228.5 X 42.00</v>
      </c>
      <c r="F62" s="8" t="str">
        <f ca="1">IFERROR(__xludf.DUMMYFUNCTION("""COMPUTED_VALUE"""),"12")</f>
        <v>12</v>
      </c>
      <c r="G62" s="8">
        <f ca="1">IFERROR(__xludf.DUMMYFUNCTION("""COMPUTED_VALUE"""),98688)</f>
        <v>98688</v>
      </c>
      <c r="H62" s="8" t="str">
        <f ca="1">IFERROR(__xludf.DUMMYFUNCTION("""COMPUTED_VALUE"""),"N/N")</f>
        <v>N/N</v>
      </c>
      <c r="I62" s="8" t="str">
        <f ca="1">IFERROR(__xludf.DUMMYFUNCTION("""COMPUTED_VALUE"""),"3 X 2500")</f>
        <v>3 X 2500</v>
      </c>
      <c r="J62" s="8" t="str">
        <f ca="1">IFERROR(__xludf.DUMMYFUNCTION("""COMPUTED_VALUE"""),"MAN-B&amp;W")</f>
        <v>MAN-B&amp;W</v>
      </c>
      <c r="K62" s="8" t="str">
        <f ca="1">IFERROR(__xludf.DUMMYFUNCTION("""COMPUTED_VALUE"""),"-")</f>
        <v>-</v>
      </c>
      <c r="L62" s="8" t="str">
        <f ca="1">IFERROR(__xludf.DUMMYFUNCTION("""COMPUTED_VALUE"""),"To be chkd")</f>
        <v>To be chkd</v>
      </c>
      <c r="M62" s="8" t="str">
        <f ca="1">IFERROR(__xludf.DUMMYFUNCTION("""COMPUTED_VALUE"""),"LR 10/28")</f>
        <v>LR 10/28</v>
      </c>
      <c r="N62" s="8" t="str">
        <f ca="1">IFERROR(__xludf.DUMMYFUNCTION("""COMPUTED_VALUE"""),"Fareast")</f>
        <v>Fareast</v>
      </c>
      <c r="O62" s="8" t="str">
        <f ca="1">IFERROR(__xludf.DUMMYFUNCTION("""COMPUTED_VALUE"""),"B.offers")</f>
        <v>B.offers</v>
      </c>
    </row>
    <row r="63" spans="1:15" ht="15.75" customHeight="1" x14ac:dyDescent="0.25">
      <c r="A63" s="8" t="str">
        <f ca="1">IFERROR(__xludf.DUMMYFUNCTION("""COMPUTED_VALUE"""),"TA 105177/00 ")</f>
        <v xml:space="preserve">TA 105177/00 </v>
      </c>
      <c r="B63" s="8" t="str">
        <f ca="1">IFERROR(__xludf.DUMMYFUNCTION("""COMPUTED_VALUE"""),"LR2 Aframax Tanker")</f>
        <v>LR2 Aframax Tanker</v>
      </c>
      <c r="C63" s="9">
        <f ca="1">IFERROR(__xludf.DUMMYFUNCTION("""COMPUTED_VALUE"""),105177)</f>
        <v>105177</v>
      </c>
      <c r="D63" s="8" t="str">
        <f ca="1">IFERROR(__xludf.DUMMYFUNCTION("""COMPUTED_VALUE"""),"7.2000-Korea")</f>
        <v>7.2000-Korea</v>
      </c>
      <c r="E63" s="8" t="str">
        <f ca="1">IFERROR(__xludf.DUMMYFUNCTION("""COMPUTED_VALUE"""),"243.7 x 42.00")</f>
        <v>243.7 x 42.00</v>
      </c>
      <c r="F63" s="8" t="str">
        <f ca="1">IFERROR(__xludf.DUMMYFUNCTION("""COMPUTED_VALUE"""),"12")</f>
        <v>12</v>
      </c>
      <c r="G63" s="8">
        <f ca="1">IFERROR(__xludf.DUMMYFUNCTION("""COMPUTED_VALUE"""),124125)</f>
        <v>124125</v>
      </c>
      <c r="H63" s="8" t="str">
        <f ca="1">IFERROR(__xludf.DUMMYFUNCTION("""COMPUTED_VALUE"""),"Y st.st / Y Epoxy")</f>
        <v>Y st.st / Y Epoxy</v>
      </c>
      <c r="I63" s="8" t="str">
        <f ca="1">IFERROR(__xludf.DUMMYFUNCTION("""COMPUTED_VALUE"""),"4 x 2000 + 3x250")</f>
        <v>4 x 2000 + 3x250</v>
      </c>
      <c r="J63" s="8" t="str">
        <f ca="1">IFERROR(__xludf.DUMMYFUNCTION("""COMPUTED_VALUE"""),"MAN-B&amp;W")</f>
        <v>MAN-B&amp;W</v>
      </c>
      <c r="K63" s="8" t="str">
        <f ca="1">IFERROR(__xludf.DUMMYFUNCTION("""COMPUTED_VALUE"""),"12 kn")</f>
        <v>12 kn</v>
      </c>
      <c r="L63" s="8" t="str">
        <f ca="1">IFERROR(__xludf.DUMMYFUNCTION("""COMPUTED_VALUE"""),"To be chkd")</f>
        <v>To be chkd</v>
      </c>
      <c r="M63" s="8" t="str">
        <f ca="1">IFERROR(__xludf.DUMMYFUNCTION("""COMPUTED_VALUE"""),"KR 4/26 D")</f>
        <v>KR 4/26 D</v>
      </c>
      <c r="N63" s="8" t="str">
        <f ca="1">IFERROR(__xludf.DUMMYFUNCTION("""COMPUTED_VALUE"""),"Denmark")</f>
        <v>Denmark</v>
      </c>
      <c r="O63" s="8" t="str">
        <f ca="1">IFERROR(__xludf.DUMMYFUNCTION("""COMPUTED_VALUE"""),"B.offers")</f>
        <v>B.offers</v>
      </c>
    </row>
    <row r="64" spans="1:15" ht="15.75" customHeight="1" x14ac:dyDescent="0.25">
      <c r="A64" s="8" t="str">
        <f ca="1">IFERROR(__xludf.DUMMYFUNCTION("""COMPUTED_VALUE"""),"TA 103755/04")</f>
        <v>TA 103755/04</v>
      </c>
      <c r="B64" s="8" t="str">
        <f ca="1">IFERROR(__xludf.DUMMYFUNCTION("""COMPUTED_VALUE"""),"LR2 Aframax/Ice 1C")</f>
        <v>LR2 Aframax/Ice 1C</v>
      </c>
      <c r="C64" s="9">
        <f ca="1">IFERROR(__xludf.DUMMYFUNCTION("""COMPUTED_VALUE"""),103755)</f>
        <v>103755</v>
      </c>
      <c r="D64" s="8" t="str">
        <f ca="1">IFERROR(__xludf.DUMMYFUNCTION("""COMPUTED_VALUE"""),"9.2004-Korea")</f>
        <v>9.2004-Korea</v>
      </c>
      <c r="E64" s="8" t="str">
        <f ca="1">IFERROR(__xludf.DUMMYFUNCTION("""COMPUTED_VALUE"""),"243.5 x 42.00")</f>
        <v>243.5 x 42.00</v>
      </c>
      <c r="F64" s="8" t="str">
        <f ca="1">IFERROR(__xludf.DUMMYFUNCTION("""COMPUTED_VALUE"""),"14")</f>
        <v>14</v>
      </c>
      <c r="G64" s="8">
        <f ca="1">IFERROR(__xludf.DUMMYFUNCTION("""COMPUTED_VALUE"""),113317)</f>
        <v>113317</v>
      </c>
      <c r="H64" s="8" t="str">
        <f ca="1">IFERROR(__xludf.DUMMYFUNCTION("""COMPUTED_VALUE"""),"Y/N")</f>
        <v>Y/N</v>
      </c>
      <c r="I64" s="8" t="str">
        <f ca="1">IFERROR(__xludf.DUMMYFUNCTION("""COMPUTED_VALUE"""),"3 X 2800")</f>
        <v>3 X 2800</v>
      </c>
      <c r="J64" s="8" t="str">
        <f ca="1">IFERROR(__xludf.DUMMYFUNCTION("""COMPUTED_VALUE"""),"MAN-B&amp;W")</f>
        <v>MAN-B&amp;W</v>
      </c>
      <c r="K64" s="8" t="str">
        <f ca="1">IFERROR(__xludf.DUMMYFUNCTION("""COMPUTED_VALUE"""),"-")</f>
        <v>-</v>
      </c>
      <c r="L64" s="8" t="str">
        <f ca="1">IFERROR(__xludf.DUMMYFUNCTION("""COMPUTED_VALUE"""),"Fitted")</f>
        <v>Fitted</v>
      </c>
      <c r="M64" s="8" t="str">
        <f ca="1">IFERROR(__xludf.DUMMYFUNCTION("""COMPUTED_VALUE"""),"AB 10/24P")</f>
        <v>AB 10/24P</v>
      </c>
      <c r="N64" s="8" t="str">
        <f ca="1">IFERROR(__xludf.DUMMYFUNCTION("""COMPUTED_VALUE"""),"AIN Sukhna-Rabiqh")</f>
        <v>AIN Sukhna-Rabiqh</v>
      </c>
      <c r="O64" s="8" t="str">
        <f ca="1">IFERROR(__xludf.DUMMYFUNCTION("""COMPUTED_VALUE"""),"B.offers")</f>
        <v>B.offers</v>
      </c>
    </row>
    <row r="65" spans="1:15" ht="15.75" customHeight="1" x14ac:dyDescent="0.25">
      <c r="A65" s="8" t="str">
        <f ca="1">IFERROR(__xludf.DUMMYFUNCTION("""COMPUTED_VALUE"""),"TA 103194/05")</f>
        <v>TA 103194/05</v>
      </c>
      <c r="B65" s="8" t="str">
        <f ca="1">IFERROR(__xludf.DUMMYFUNCTION("""COMPUTED_VALUE"""),"LR2 Aframax/Ice 1B")</f>
        <v>LR2 Aframax/Ice 1B</v>
      </c>
      <c r="C65" s="9">
        <f ca="1">IFERROR(__xludf.DUMMYFUNCTION("""COMPUTED_VALUE"""),103194)</f>
        <v>103194</v>
      </c>
      <c r="D65" s="8" t="str">
        <f ca="1">IFERROR(__xludf.DUMMYFUNCTION("""COMPUTED_VALUE"""),"11.2005-Korea")</f>
        <v>11.2005-Korea</v>
      </c>
      <c r="E65" s="8" t="str">
        <f ca="1">IFERROR(__xludf.DUMMYFUNCTION("""COMPUTED_VALUE"""),"243.5 x 42.00")</f>
        <v>243.5 x 42.00</v>
      </c>
      <c r="F65" s="8" t="str">
        <f ca="1">IFERROR(__xludf.DUMMYFUNCTION("""COMPUTED_VALUE"""),"14")</f>
        <v>14</v>
      </c>
      <c r="G65" s="8">
        <f ca="1">IFERROR(__xludf.DUMMYFUNCTION("""COMPUTED_VALUE"""),113017)</f>
        <v>113017</v>
      </c>
      <c r="H65" s="8" t="str">
        <f ca="1">IFERROR(__xludf.DUMMYFUNCTION("""COMPUTED_VALUE"""),"Y/N")</f>
        <v>Y/N</v>
      </c>
      <c r="I65" s="8" t="str">
        <f ca="1">IFERROR(__xludf.DUMMYFUNCTION("""COMPUTED_VALUE"""),"3 x 2800")</f>
        <v>3 x 2800</v>
      </c>
      <c r="J65" s="8" t="str">
        <f ca="1">IFERROR(__xludf.DUMMYFUNCTION("""COMPUTED_VALUE"""),"MAN-B&amp;W")</f>
        <v>MAN-B&amp;W</v>
      </c>
      <c r="K65" s="8" t="str">
        <f ca="1">IFERROR(__xludf.DUMMYFUNCTION("""COMPUTED_VALUE"""),"-")</f>
        <v>-</v>
      </c>
      <c r="L65" s="8" t="str">
        <f ca="1">IFERROR(__xludf.DUMMYFUNCTION("""COMPUTED_VALUE"""),"Fitted")</f>
        <v>Fitted</v>
      </c>
      <c r="M65" s="8" t="str">
        <f ca="1">IFERROR(__xludf.DUMMYFUNCTION("""COMPUTED_VALUE"""),"AB 11/25D")</f>
        <v>AB 11/25D</v>
      </c>
      <c r="N65" s="8" t="str">
        <f ca="1">IFERROR(__xludf.DUMMYFUNCTION("""COMPUTED_VALUE"""),"Sikka ")</f>
        <v xml:space="preserve">Sikka </v>
      </c>
      <c r="O65" s="8" t="str">
        <f ca="1">IFERROR(__xludf.DUMMYFUNCTION("""COMPUTED_VALUE"""),"B.offers")</f>
        <v>B.offers</v>
      </c>
    </row>
    <row r="66" spans="1:15" ht="15.75" customHeight="1" x14ac:dyDescent="0.25">
      <c r="A66" s="8" t="str">
        <f ca="1">IFERROR(__xludf.DUMMYFUNCTION("""COMPUTED_VALUE"""),"TA 103124/04")</f>
        <v>TA 103124/04</v>
      </c>
      <c r="B66" s="8" t="str">
        <f ca="1">IFERROR(__xludf.DUMMYFUNCTION("""COMPUTED_VALUE"""),"LR2 Aframax/Ice 1B")</f>
        <v>LR2 Aframax/Ice 1B</v>
      </c>
      <c r="C66" s="9">
        <f ca="1">IFERROR(__xludf.DUMMYFUNCTION("""COMPUTED_VALUE"""),103124)</f>
        <v>103124</v>
      </c>
      <c r="D66" s="8" t="str">
        <f ca="1">IFERROR(__xludf.DUMMYFUNCTION("""COMPUTED_VALUE"""),"9.2004-Korea")</f>
        <v>9.2004-Korea</v>
      </c>
      <c r="E66" s="8" t="str">
        <f ca="1">IFERROR(__xludf.DUMMYFUNCTION("""COMPUTED_VALUE"""),"243.5 x 42.00")</f>
        <v>243.5 x 42.00</v>
      </c>
      <c r="F66" s="8" t="str">
        <f ca="1">IFERROR(__xludf.DUMMYFUNCTION("""COMPUTED_VALUE"""),"14")</f>
        <v>14</v>
      </c>
      <c r="G66" s="8">
        <f ca="1">IFERROR(__xludf.DUMMYFUNCTION("""COMPUTED_VALUE"""),113317)</f>
        <v>113317</v>
      </c>
      <c r="H66" s="8" t="str">
        <f ca="1">IFERROR(__xludf.DUMMYFUNCTION("""COMPUTED_VALUE"""),"Y/NO")</f>
        <v>Y/NO</v>
      </c>
      <c r="I66" s="8" t="str">
        <f ca="1">IFERROR(__xludf.DUMMYFUNCTION("""COMPUTED_VALUE"""),"3 x 2800")</f>
        <v>3 x 2800</v>
      </c>
      <c r="J66" s="8" t="str">
        <f ca="1">IFERROR(__xludf.DUMMYFUNCTION("""COMPUTED_VALUE"""),"MAN-B&amp;W")</f>
        <v>MAN-B&amp;W</v>
      </c>
      <c r="K66" s="8" t="str">
        <f ca="1">IFERROR(__xludf.DUMMYFUNCTION("""COMPUTED_VALUE"""),"-")</f>
        <v>-</v>
      </c>
      <c r="L66" s="8" t="str">
        <f ca="1">IFERROR(__xludf.DUMMYFUNCTION("""COMPUTED_VALUE"""),"Fitted")</f>
        <v>Fitted</v>
      </c>
      <c r="M66" s="8" t="str">
        <f ca="1">IFERROR(__xludf.DUMMYFUNCTION("""COMPUTED_VALUE"""),"AB 10/24P")</f>
        <v>AB 10/24P</v>
      </c>
      <c r="N66" s="8" t="str">
        <f ca="1">IFERROR(__xludf.DUMMYFUNCTION("""COMPUTED_VALUE"""),"Holland")</f>
        <v>Holland</v>
      </c>
      <c r="O66" s="8" t="str">
        <f ca="1">IFERROR(__xludf.DUMMYFUNCTION("""COMPUTED_VALUE"""),"B.offers")</f>
        <v>B.offers</v>
      </c>
    </row>
    <row r="67" spans="1:15" ht="15.75" customHeight="1" x14ac:dyDescent="0.25">
      <c r="A67" s="8" t="str">
        <f ca="1">IFERROR(__xludf.DUMMYFUNCTION("""COMPUTED_VALUE"""),"TA 84999/02A")</f>
        <v>TA 84999/02A</v>
      </c>
      <c r="B67" s="8" t="str">
        <f ca="1">IFERROR(__xludf.DUMMYFUNCTION("""COMPUTED_VALUE"""),"LR2 Aframax Tanker")</f>
        <v>LR2 Aframax Tanker</v>
      </c>
      <c r="C67" s="9">
        <f ca="1">IFERROR(__xludf.DUMMYFUNCTION("""COMPUTED_VALUE"""),84999)</f>
        <v>84999</v>
      </c>
      <c r="D67" s="8" t="str">
        <f ca="1">IFERROR(__xludf.DUMMYFUNCTION("""COMPUTED_VALUE"""),"12.2002-Japan")</f>
        <v>12.2002-Japan</v>
      </c>
      <c r="E67" s="8" t="str">
        <f ca="1">IFERROR(__xludf.DUMMYFUNCTION("""COMPUTED_VALUE"""),"238.9 x 38.00")</f>
        <v>238.9 x 38.00</v>
      </c>
      <c r="F67" s="8" t="str">
        <f ca="1">IFERROR(__xludf.DUMMYFUNCTION("""COMPUTED_VALUE"""),"12")</f>
        <v>12</v>
      </c>
      <c r="G67" s="8">
        <f ca="1">IFERROR(__xludf.DUMMYFUNCTION("""COMPUTED_VALUE"""),98276)</f>
        <v>98276</v>
      </c>
      <c r="H67" s="8" t="str">
        <f ca="1">IFERROR(__xludf.DUMMYFUNCTION("""COMPUTED_VALUE"""),"Y/N")</f>
        <v>Y/N</v>
      </c>
      <c r="I67" s="8" t="str">
        <f ca="1">IFERROR(__xludf.DUMMYFUNCTION("""COMPUTED_VALUE"""),"3 x 2500")</f>
        <v>3 x 2500</v>
      </c>
      <c r="J67" s="8" t="str">
        <f ca="1">IFERROR(__xludf.DUMMYFUNCTION("""COMPUTED_VALUE"""),"MAN-B&amp;W")</f>
        <v>MAN-B&amp;W</v>
      </c>
      <c r="K67" s="8" t="str">
        <f ca="1">IFERROR(__xludf.DUMMYFUNCTION("""COMPUTED_VALUE"""),"-")</f>
        <v>-</v>
      </c>
      <c r="L67" s="8" t="str">
        <f ca="1">IFERROR(__xludf.DUMMYFUNCTION("""COMPUTED_VALUE"""),"Fitted")</f>
        <v>Fitted</v>
      </c>
      <c r="M67" s="8" t="str">
        <f ca="1">IFERROR(__xludf.DUMMYFUNCTION("""COMPUTED_VALUE"""),"AB 3/26D")</f>
        <v>AB 3/26D</v>
      </c>
      <c r="N67" s="8" t="str">
        <f ca="1">IFERROR(__xludf.DUMMYFUNCTION("""COMPUTED_VALUE"""),"DD Greece")</f>
        <v>DD Greece</v>
      </c>
      <c r="O67" s="8" t="str">
        <f ca="1">IFERROR(__xludf.DUMMYFUNCTION("""COMPUTED_VALUE"""),"B.offers")</f>
        <v>B.offers</v>
      </c>
    </row>
    <row r="68" spans="1:15" ht="15.75" customHeight="1" x14ac:dyDescent="0.25">
      <c r="A68" s="8" t="str">
        <f ca="1">IFERROR(__xludf.DUMMYFUNCTION("""COMPUTED_VALUE"""),"TA 84999/02B")</f>
        <v>TA 84999/02B</v>
      </c>
      <c r="B68" s="8" t="str">
        <f ca="1">IFERROR(__xludf.DUMMYFUNCTION("""COMPUTED_VALUE"""),"LR2 Aframax tanker")</f>
        <v>LR2 Aframax tanker</v>
      </c>
      <c r="C68" s="9">
        <f ca="1">IFERROR(__xludf.DUMMYFUNCTION("""COMPUTED_VALUE"""),84999)</f>
        <v>84999</v>
      </c>
      <c r="D68" s="8" t="str">
        <f ca="1">IFERROR(__xludf.DUMMYFUNCTION("""COMPUTED_VALUE"""),"2002-Japan")</f>
        <v>2002-Japan</v>
      </c>
      <c r="E68" s="8" t="str">
        <f ca="1">IFERROR(__xludf.DUMMYFUNCTION("""COMPUTED_VALUE"""),"238.9 x 38.00")</f>
        <v>238.9 x 38.00</v>
      </c>
      <c r="F68" s="8" t="str">
        <f ca="1">IFERROR(__xludf.DUMMYFUNCTION("""COMPUTED_VALUE"""),"12")</f>
        <v>12</v>
      </c>
      <c r="G68" s="8">
        <f ca="1">IFERROR(__xludf.DUMMYFUNCTION("""COMPUTED_VALUE"""),98276)</f>
        <v>98276</v>
      </c>
      <c r="H68" s="8" t="str">
        <f ca="1">IFERROR(__xludf.DUMMYFUNCTION("""COMPUTED_VALUE"""),"Y/N")</f>
        <v>Y/N</v>
      </c>
      <c r="I68" s="8" t="str">
        <f ca="1">IFERROR(__xludf.DUMMYFUNCTION("""COMPUTED_VALUE"""),"3 x 2500")</f>
        <v>3 x 2500</v>
      </c>
      <c r="J68" s="8" t="str">
        <f ca="1">IFERROR(__xludf.DUMMYFUNCTION("""COMPUTED_VALUE"""),"MAN-B&amp;W")</f>
        <v>MAN-B&amp;W</v>
      </c>
      <c r="K68" s="8" t="str">
        <f ca="1">IFERROR(__xludf.DUMMYFUNCTION("""COMPUTED_VALUE"""),"-")</f>
        <v>-</v>
      </c>
      <c r="L68" s="8" t="str">
        <f ca="1">IFERROR(__xludf.DUMMYFUNCTION("""COMPUTED_VALUE"""),"To be chkd")</f>
        <v>To be chkd</v>
      </c>
      <c r="M68" s="8" t="str">
        <f ca="1">IFERROR(__xludf.DUMMYFUNCTION("""COMPUTED_VALUE"""),"AB 8.27D")</f>
        <v>AB 8.27D</v>
      </c>
      <c r="N68" s="8" t="str">
        <f ca="1">IFERROR(__xludf.DUMMYFUNCTION("""COMPUTED_VALUE"""),"Check")</f>
        <v>Check</v>
      </c>
      <c r="O68" s="8" t="str">
        <f ca="1">IFERROR(__xludf.DUMMYFUNCTION("""COMPUTED_VALUE"""),"B.offers")</f>
        <v>B.offers</v>
      </c>
    </row>
    <row r="69" spans="1:15" ht="15.75" customHeight="1" x14ac:dyDescent="0.25">
      <c r="A69" s="8" t="str">
        <f ca="1">IFERROR(__xludf.DUMMYFUNCTION("""COMPUTED_VALUE"""),"TA 74999/04A")</f>
        <v>TA 74999/04A</v>
      </c>
      <c r="B69" s="8" t="str">
        <f ca="1">IFERROR(__xludf.DUMMYFUNCTION("""COMPUTED_VALUE"""),"Panamax/LR1 - CPP Tanker")</f>
        <v>Panamax/LR1 - CPP Tanker</v>
      </c>
      <c r="C69" s="9">
        <f ca="1">IFERROR(__xludf.DUMMYFUNCTION("""COMPUTED_VALUE"""),74999)</f>
        <v>74999</v>
      </c>
      <c r="D69" s="8" t="str">
        <f ca="1">IFERROR(__xludf.DUMMYFUNCTION("""COMPUTED_VALUE"""),"2004-Korea")</f>
        <v>2004-Korea</v>
      </c>
      <c r="E69" s="8" t="str">
        <f ca="1">IFERROR(__xludf.DUMMYFUNCTION("""COMPUTED_VALUE"""),"228.2 x 32.20")</f>
        <v>228.2 x 32.20</v>
      </c>
      <c r="F69" s="8" t="str">
        <f ca="1">IFERROR(__xludf.DUMMYFUNCTION("""COMPUTED_VALUE"""),"14")</f>
        <v>14</v>
      </c>
      <c r="G69" s="8">
        <f ca="1">IFERROR(__xludf.DUMMYFUNCTION("""COMPUTED_VALUE"""),82053)</f>
        <v>82053</v>
      </c>
      <c r="H69" s="8" t="str">
        <f ca="1">IFERROR(__xludf.DUMMYFUNCTION("""COMPUTED_VALUE"""),"Y/Y Epoxy")</f>
        <v>Y/Y Epoxy</v>
      </c>
      <c r="I69" s="8" t="str">
        <f ca="1">IFERROR(__xludf.DUMMYFUNCTION("""COMPUTED_VALUE"""),"12 x 900")</f>
        <v>12 x 900</v>
      </c>
      <c r="J69" s="8" t="str">
        <f ca="1">IFERROR(__xludf.DUMMYFUNCTION("""COMPUTED_VALUE"""),"MAN-B&amp;W")</f>
        <v>MAN-B&amp;W</v>
      </c>
      <c r="K69" s="8" t="str">
        <f ca="1">IFERROR(__xludf.DUMMYFUNCTION("""COMPUTED_VALUE"""),"-")</f>
        <v>-</v>
      </c>
      <c r="L69" s="8" t="str">
        <f ca="1">IFERROR(__xludf.DUMMYFUNCTION("""COMPUTED_VALUE"""),"Scrub fit")</f>
        <v>Scrub fit</v>
      </c>
      <c r="M69" s="8" t="str">
        <f ca="1">IFERROR(__xludf.DUMMYFUNCTION("""COMPUTED_VALUE"""),"BV 8/24P")</f>
        <v>BV 8/24P</v>
      </c>
      <c r="N69" s="8" t="str">
        <f ca="1">IFERROR(__xludf.DUMMYFUNCTION("""COMPUTED_VALUE"""),"Trd.Atlantic")</f>
        <v>Trd.Atlantic</v>
      </c>
      <c r="O69" s="8" t="str">
        <f ca="1">IFERROR(__xludf.DUMMYFUNCTION("""COMPUTED_VALUE"""),"16-15.5 m")</f>
        <v>16-15.5 m</v>
      </c>
    </row>
    <row r="70" spans="1:15" ht="15.75" customHeight="1" x14ac:dyDescent="0.25">
      <c r="A70" s="8" t="str">
        <f ca="1">IFERROR(__xludf.DUMMYFUNCTION("""COMPUTED_VALUE"""),"TA 49999/04B")</f>
        <v>TA 49999/04B</v>
      </c>
      <c r="B70" s="8" t="str">
        <f ca="1">IFERROR(__xludf.DUMMYFUNCTION("""COMPUTED_VALUE"""),"Panamax LR1 CPP Tanker")</f>
        <v>Panamax LR1 CPP Tanker</v>
      </c>
      <c r="C70" s="9">
        <f ca="1">IFERROR(__xludf.DUMMYFUNCTION("""COMPUTED_VALUE"""),74999)</f>
        <v>74999</v>
      </c>
      <c r="D70" s="8" t="str">
        <f ca="1">IFERROR(__xludf.DUMMYFUNCTION("""COMPUTED_VALUE"""),"2004-Korea")</f>
        <v>2004-Korea</v>
      </c>
      <c r="E70" s="8" t="str">
        <f ca="1">IFERROR(__xludf.DUMMYFUNCTION("""COMPUTED_VALUE"""),"228.2 x 32.20")</f>
        <v>228.2 x 32.20</v>
      </c>
      <c r="F70" s="8" t="str">
        <f ca="1">IFERROR(__xludf.DUMMYFUNCTION("""COMPUTED_VALUE"""),"14")</f>
        <v>14</v>
      </c>
      <c r="G70" s="8">
        <f ca="1">IFERROR(__xludf.DUMMYFUNCTION("""COMPUTED_VALUE"""),82053)</f>
        <v>82053</v>
      </c>
      <c r="H70" s="8" t="str">
        <f ca="1">IFERROR(__xludf.DUMMYFUNCTION("""COMPUTED_VALUE"""),"Y/Y Epoxy")</f>
        <v>Y/Y Epoxy</v>
      </c>
      <c r="I70" s="8" t="str">
        <f ca="1">IFERROR(__xludf.DUMMYFUNCTION("""COMPUTED_VALUE"""),"12 x 900")</f>
        <v>12 x 900</v>
      </c>
      <c r="J70" s="8" t="str">
        <f ca="1">IFERROR(__xludf.DUMMYFUNCTION("""COMPUTED_VALUE"""),"MAN-B&amp;W")</f>
        <v>MAN-B&amp;W</v>
      </c>
      <c r="K70" s="8" t="str">
        <f ca="1">IFERROR(__xludf.DUMMYFUNCTION("""COMPUTED_VALUE"""),"-")</f>
        <v>-</v>
      </c>
      <c r="L70" s="8" t="str">
        <f ca="1">IFERROR(__xludf.DUMMYFUNCTION("""COMPUTED_VALUE"""),"Scrub fit")</f>
        <v>Scrub fit</v>
      </c>
      <c r="M70" s="8" t="str">
        <f ca="1">IFERROR(__xludf.DUMMYFUNCTION("""COMPUTED_VALUE"""),"BV 8/29D")</f>
        <v>BV 8/29D</v>
      </c>
      <c r="N70" s="8" t="str">
        <f ca="1">IFERROR(__xludf.DUMMYFUNCTION("""COMPUTED_VALUE"""),"Trd.Atlantic")</f>
        <v>Trd.Atlantic</v>
      </c>
      <c r="O70" s="8" t="str">
        <f ca="1">IFERROR(__xludf.DUMMYFUNCTION("""COMPUTED_VALUE"""),"16-15.5 m")</f>
        <v>16-15.5 m</v>
      </c>
    </row>
    <row r="71" spans="1:15" ht="15.75" customHeight="1" x14ac:dyDescent="0.25">
      <c r="A71" s="8" t="str">
        <f ca="1">IFERROR(__xludf.DUMMYFUNCTION("""COMPUTED_VALUE"""),"TA 74999/05A")</f>
        <v>TA 74999/05A</v>
      </c>
      <c r="B71" s="8" t="str">
        <f ca="1">IFERROR(__xludf.DUMMYFUNCTION("""COMPUTED_VALUE"""),"Panamax LR1 Tanker")</f>
        <v>Panamax LR1 Tanker</v>
      </c>
      <c r="C71" s="9">
        <f ca="1">IFERROR(__xludf.DUMMYFUNCTION("""COMPUTED_VALUE"""),74999)</f>
        <v>74999</v>
      </c>
      <c r="D71" s="8" t="str">
        <f ca="1">IFERROR(__xludf.DUMMYFUNCTION("""COMPUTED_VALUE"""),"2005-Korea")</f>
        <v>2005-Korea</v>
      </c>
      <c r="E71" s="8" t="str">
        <f ca="1">IFERROR(__xludf.DUMMYFUNCTION("""COMPUTED_VALUE"""),"228.1 x 32.20")</f>
        <v>228.1 x 32.20</v>
      </c>
      <c r="F71" s="8" t="str">
        <f ca="1">IFERROR(__xludf.DUMMYFUNCTION("""COMPUTED_VALUE"""),"14")</f>
        <v>14</v>
      </c>
      <c r="G71" s="8">
        <f ca="1">IFERROR(__xludf.DUMMYFUNCTION("""COMPUTED_VALUE"""),82053)</f>
        <v>82053</v>
      </c>
      <c r="H71" s="8" t="str">
        <f ca="1">IFERROR(__xludf.DUMMYFUNCTION("""COMPUTED_VALUE"""),"?/Y Epoxy")</f>
        <v>?/Y Epoxy</v>
      </c>
      <c r="I71" s="8" t="str">
        <f ca="1">IFERROR(__xludf.DUMMYFUNCTION("""COMPUTED_VALUE"""),"12 x 900")</f>
        <v>12 x 900</v>
      </c>
      <c r="J71" s="8" t="str">
        <f ca="1">IFERROR(__xludf.DUMMYFUNCTION("""COMPUTED_VALUE"""),"MAN-B&amp;W")</f>
        <v>MAN-B&amp;W</v>
      </c>
      <c r="K71" s="8" t="str">
        <f ca="1">IFERROR(__xludf.DUMMYFUNCTION("""COMPUTED_VALUE"""),"-")</f>
        <v>-</v>
      </c>
      <c r="L71" s="8" t="str">
        <f ca="1">IFERROR(__xludf.DUMMYFUNCTION("""COMPUTED_VALUE"""),"Fitted")</f>
        <v>Fitted</v>
      </c>
      <c r="M71" s="8" t="str">
        <f ca="1">IFERROR(__xludf.DUMMYFUNCTION("""COMPUTED_VALUE"""),"SS due 4/25")</f>
        <v>SS due 4/25</v>
      </c>
      <c r="N71" s="8" t="str">
        <f ca="1">IFERROR(__xludf.DUMMYFUNCTION("""COMPUTED_VALUE"""),"Singapore")</f>
        <v>Singapore</v>
      </c>
      <c r="O71" s="8" t="str">
        <f ca="1">IFERROR(__xludf.DUMMYFUNCTION("""COMPUTED_VALUE"""),"15-14.5 m")</f>
        <v>15-14.5 m</v>
      </c>
    </row>
    <row r="72" spans="1:15" ht="15.75" customHeight="1" x14ac:dyDescent="0.25">
      <c r="A72" s="8" t="str">
        <f ca="1">IFERROR(__xludf.DUMMYFUNCTION("""COMPUTED_VALUE"""),"TA 74999/05B")</f>
        <v>TA 74999/05B</v>
      </c>
      <c r="B72" s="8" t="str">
        <f ca="1">IFERROR(__xludf.DUMMYFUNCTION("""COMPUTED_VALUE"""),"Panamax LR1 DPP Tanker")</f>
        <v>Panamax LR1 DPP Tanker</v>
      </c>
      <c r="C72" s="9">
        <f ca="1">IFERROR(__xludf.DUMMYFUNCTION("""COMPUTED_VALUE"""),74999)</f>
        <v>74999</v>
      </c>
      <c r="D72" s="8" t="str">
        <f ca="1">IFERROR(__xludf.DUMMYFUNCTION("""COMPUTED_VALUE"""),"2005-Korea")</f>
        <v>2005-Korea</v>
      </c>
      <c r="E72" s="8" t="str">
        <f ca="1">IFERROR(__xludf.DUMMYFUNCTION("""COMPUTED_VALUE"""),"228.1 x 32.20")</f>
        <v>228.1 x 32.20</v>
      </c>
      <c r="F72" s="8" t="str">
        <f ca="1">IFERROR(__xludf.DUMMYFUNCTION("""COMPUTED_VALUE"""),"14")</f>
        <v>14</v>
      </c>
      <c r="G72" s="8">
        <f ca="1">IFERROR(__xludf.DUMMYFUNCTION("""COMPUTED_VALUE"""),82053)</f>
        <v>82053</v>
      </c>
      <c r="H72" s="8" t="str">
        <f ca="1">IFERROR(__xludf.DUMMYFUNCTION("""COMPUTED_VALUE"""),"?/y Epoxy")</f>
        <v>?/y Epoxy</v>
      </c>
      <c r="I72" s="8" t="str">
        <f ca="1">IFERROR(__xludf.DUMMYFUNCTION("""COMPUTED_VALUE"""),"12 x 900")</f>
        <v>12 x 900</v>
      </c>
      <c r="J72" s="8" t="str">
        <f ca="1">IFERROR(__xludf.DUMMYFUNCTION("""COMPUTED_VALUE"""),"B&amp;W")</f>
        <v>B&amp;W</v>
      </c>
      <c r="K72" s="8" t="str">
        <f ca="1">IFERROR(__xludf.DUMMYFUNCTION("""COMPUTED_VALUE"""),"16k")</f>
        <v>16k</v>
      </c>
      <c r="L72" s="8" t="str">
        <f ca="1">IFERROR(__xludf.DUMMYFUNCTION("""COMPUTED_VALUE"""),"Fitted")</f>
        <v>Fitted</v>
      </c>
      <c r="M72" s="8" t="str">
        <f ca="1">IFERROR(__xludf.DUMMYFUNCTION("""COMPUTED_VALUE"""),"LR 11/25D")</f>
        <v>LR 11/25D</v>
      </c>
      <c r="N72" s="8" t="str">
        <f ca="1">IFERROR(__xludf.DUMMYFUNCTION("""COMPUTED_VALUE"""),"USG")</f>
        <v>USG</v>
      </c>
      <c r="O72" s="8" t="str">
        <f ca="1">IFERROR(__xludf.DUMMYFUNCTION("""COMPUTED_VALUE"""),"B.offers")</f>
        <v>B.offers</v>
      </c>
    </row>
    <row r="73" spans="1:15" ht="15.75" customHeight="1" x14ac:dyDescent="0.25">
      <c r="A73" s="8" t="str">
        <f ca="1">IFERROR(__xludf.DUMMYFUNCTION("""COMPUTED_VALUE"""),"TA 74996/06")</f>
        <v>TA 74996/06</v>
      </c>
      <c r="B73" s="8" t="str">
        <f ca="1">IFERROR(__xludf.DUMMYFUNCTION("""COMPUTED_VALUE"""),"Panamax LR1 Tanker")</f>
        <v>Panamax LR1 Tanker</v>
      </c>
      <c r="C73" s="9">
        <f ca="1">IFERROR(__xludf.DUMMYFUNCTION("""COMPUTED_VALUE"""),74996)</f>
        <v>74996</v>
      </c>
      <c r="D73" s="8" t="str">
        <f ca="1">IFERROR(__xludf.DUMMYFUNCTION("""COMPUTED_VALUE"""),"2006-Japan")</f>
        <v>2006-Japan</v>
      </c>
      <c r="E73" s="8" t="str">
        <f ca="1">IFERROR(__xludf.DUMMYFUNCTION("""COMPUTED_VALUE"""),"228.4 x 32.20")</f>
        <v>228.4 x 32.20</v>
      </c>
      <c r="F73" s="8" t="str">
        <f ca="1">IFERROR(__xludf.DUMMYFUNCTION("""COMPUTED_VALUE"""),"14")</f>
        <v>14</v>
      </c>
      <c r="G73" s="8">
        <f ca="1">IFERROR(__xludf.DUMMYFUNCTION("""COMPUTED_VALUE"""),82135)</f>
        <v>82135</v>
      </c>
      <c r="H73" s="8" t="str">
        <f ca="1">IFERROR(__xludf.DUMMYFUNCTION("""COMPUTED_VALUE"""),"Y/Y Epoxy")</f>
        <v>Y/Y Epoxy</v>
      </c>
      <c r="I73" s="8" t="str">
        <f ca="1">IFERROR(__xludf.DUMMYFUNCTION("""COMPUTED_VALUE"""),"3 x 2000")</f>
        <v>3 x 2000</v>
      </c>
      <c r="J73" s="8" t="str">
        <f ca="1">IFERROR(__xludf.DUMMYFUNCTION("""COMPUTED_VALUE"""),"Mitsubishi")</f>
        <v>Mitsubishi</v>
      </c>
      <c r="K73" s="8" t="str">
        <f ca="1">IFERROR(__xludf.DUMMYFUNCTION("""COMPUTED_VALUE"""),"-")</f>
        <v>-</v>
      </c>
      <c r="L73" s="8" t="str">
        <f ca="1">IFERROR(__xludf.DUMMYFUNCTION("""COMPUTED_VALUE"""),"To be chkd")</f>
        <v>To be chkd</v>
      </c>
      <c r="M73" s="8" t="str">
        <f ca="1">IFERROR(__xludf.DUMMYFUNCTION("""COMPUTED_VALUE"""),"NK 10/26D")</f>
        <v>NK 10/26D</v>
      </c>
      <c r="N73" s="8" t="str">
        <f ca="1">IFERROR(__xludf.DUMMYFUNCTION("""COMPUTED_VALUE"""),"-")</f>
        <v>-</v>
      </c>
      <c r="O73" s="8" t="str">
        <f ca="1">IFERROR(__xludf.DUMMYFUNCTION("""COMPUTED_VALUE"""),"B.offers")</f>
        <v>B.offers</v>
      </c>
    </row>
    <row r="74" spans="1:15" ht="15.75" customHeight="1" x14ac:dyDescent="0.25">
      <c r="A74" s="8" t="str">
        <f ca="1">IFERROR(__xludf.DUMMYFUNCTION("""COMPUTED_VALUE"""),"TA 74908/06A")</f>
        <v>TA 74908/06A</v>
      </c>
      <c r="B74" s="8" t="str">
        <f ca="1">IFERROR(__xludf.DUMMYFUNCTION("""COMPUTED_VALUE"""),"Panamax LR1 DPP Tanker")</f>
        <v>Panamax LR1 DPP Tanker</v>
      </c>
      <c r="C74" s="9">
        <f ca="1">IFERROR(__xludf.DUMMYFUNCTION("""COMPUTED_VALUE"""),74908)</f>
        <v>74908</v>
      </c>
      <c r="D74" s="8" t="str">
        <f ca="1">IFERROR(__xludf.DUMMYFUNCTION("""COMPUTED_VALUE"""),"2006-Korea")</f>
        <v>2006-Korea</v>
      </c>
      <c r="E74" s="8" t="str">
        <f ca="1">IFERROR(__xludf.DUMMYFUNCTION("""COMPUTED_VALUE"""),"228.0 x 32.24")</f>
        <v>228.0 x 32.24</v>
      </c>
      <c r="F74" s="8" t="str">
        <f ca="1">IFERROR(__xludf.DUMMYFUNCTION("""COMPUTED_VALUE"""),"14")</f>
        <v>14</v>
      </c>
      <c r="G74" s="8">
        <f ca="1">IFERROR(__xludf.DUMMYFUNCTION("""COMPUTED_VALUE"""),80339)</f>
        <v>80339</v>
      </c>
      <c r="H74" s="8" t="str">
        <f ca="1">IFERROR(__xludf.DUMMYFUNCTION("""COMPUTED_VALUE"""),"Y/Y Epoxy")</f>
        <v>Y/Y Epoxy</v>
      </c>
      <c r="I74" s="8" t="str">
        <f ca="1">IFERROR(__xludf.DUMMYFUNCTION("""COMPUTED_VALUE"""),"3 x 2000")</f>
        <v>3 x 2000</v>
      </c>
      <c r="J74" s="8" t="str">
        <f ca="1">IFERROR(__xludf.DUMMYFUNCTION("""COMPUTED_VALUE"""),"MAN-B&amp;W")</f>
        <v>MAN-B&amp;W</v>
      </c>
      <c r="K74" s="8" t="str">
        <f ca="1">IFERROR(__xludf.DUMMYFUNCTION("""COMPUTED_VALUE"""),"15k/49.3t")</f>
        <v>15k/49.3t</v>
      </c>
      <c r="L74" s="8" t="str">
        <f ca="1">IFERROR(__xludf.DUMMYFUNCTION("""COMPUTED_VALUE"""),"Fitted")</f>
        <v>Fitted</v>
      </c>
      <c r="M74" s="8" t="str">
        <f ca="1">IFERROR(__xludf.DUMMYFUNCTION("""COMPUTED_VALUE"""),"AB 9/25D")</f>
        <v>AB 9/25D</v>
      </c>
      <c r="N74" s="8" t="str">
        <f ca="1">IFERROR(__xludf.DUMMYFUNCTION("""COMPUTED_VALUE"""),"Central America")</f>
        <v>Central America</v>
      </c>
      <c r="O74" s="8" t="str">
        <f ca="1">IFERROR(__xludf.DUMMYFUNCTION("""COMPUTED_VALUE"""),"B.offers")</f>
        <v>B.offers</v>
      </c>
    </row>
    <row r="75" spans="1:15" ht="15.75" customHeight="1" x14ac:dyDescent="0.25">
      <c r="A75" s="8" t="str">
        <f ca="1">IFERROR(__xludf.DUMMYFUNCTION("""COMPUTED_VALUE"""),"TA 74900/11")</f>
        <v>TA 74900/11</v>
      </c>
      <c r="B75" s="8" t="str">
        <f ca="1">IFERROR(__xludf.DUMMYFUNCTION("""COMPUTED_VALUE"""),"Panamax LR1 Tanker")</f>
        <v>Panamax LR1 Tanker</v>
      </c>
      <c r="C75" s="9">
        <f ca="1">IFERROR(__xludf.DUMMYFUNCTION("""COMPUTED_VALUE"""),74900)</f>
        <v>74900</v>
      </c>
      <c r="D75" s="8" t="str">
        <f ca="1">IFERROR(__xludf.DUMMYFUNCTION("""COMPUTED_VALUE"""),"2011-Korea")</f>
        <v>2011-Korea</v>
      </c>
      <c r="E75" s="8" t="str">
        <f ca="1">IFERROR(__xludf.DUMMYFUNCTION("""COMPUTED_VALUE"""),"228.0 x 32.20")</f>
        <v>228.0 x 32.20</v>
      </c>
      <c r="F75" s="8" t="str">
        <f ca="1">IFERROR(__xludf.DUMMYFUNCTION("""COMPUTED_VALUE"""),"12")</f>
        <v>12</v>
      </c>
      <c r="G75" s="8">
        <f ca="1">IFERROR(__xludf.DUMMYFUNCTION("""COMPUTED_VALUE"""),85000)</f>
        <v>85000</v>
      </c>
      <c r="H75" s="8" t="str">
        <f ca="1">IFERROR(__xludf.DUMMYFUNCTION("""COMPUTED_VALUE"""),"N/Y Epoxy")</f>
        <v>N/Y Epoxy</v>
      </c>
      <c r="I75" s="8" t="str">
        <f ca="1">IFERROR(__xludf.DUMMYFUNCTION("""COMPUTED_VALUE"""),"6 Pumps")</f>
        <v>6 Pumps</v>
      </c>
      <c r="J75" s="8" t="str">
        <f ca="1">IFERROR(__xludf.DUMMYFUNCTION("""COMPUTED_VALUE"""),"MAN-B&amp;W")</f>
        <v>MAN-B&amp;W</v>
      </c>
      <c r="K75" s="8" t="str">
        <f ca="1">IFERROR(__xludf.DUMMYFUNCTION("""COMPUTED_VALUE"""),"15K/49.3t IFO")</f>
        <v>15K/49.3t IFO</v>
      </c>
      <c r="L75" s="8" t="str">
        <f ca="1">IFERROR(__xludf.DUMMYFUNCTION("""COMPUTED_VALUE"""),"To be chkd")</f>
        <v>To be chkd</v>
      </c>
      <c r="M75" s="8" t="str">
        <f ca="1">IFERROR(__xludf.DUMMYFUNCTION("""COMPUTED_VALUE"""),"LR 6/26D")</f>
        <v>LR 6/26D</v>
      </c>
      <c r="N75" s="8" t="str">
        <f ca="1">IFERROR(__xludf.DUMMYFUNCTION("""COMPUTED_VALUE"""),"Not Keen")</f>
        <v>Not Keen</v>
      </c>
      <c r="O75" s="8" t="str">
        <f ca="1">IFERROR(__xludf.DUMMYFUNCTION("""COMPUTED_VALUE"""),"23-22.0 m")</f>
        <v>23-22.0 m</v>
      </c>
    </row>
    <row r="76" spans="1:15" ht="15.75" customHeight="1" x14ac:dyDescent="0.25">
      <c r="A76" s="8" t="str">
        <f ca="1">IFERROR(__xludf.DUMMYFUNCTION("""COMPUTED_VALUE"""),"TA 74900/10")</f>
        <v>TA 74900/10</v>
      </c>
      <c r="B76" s="8" t="str">
        <f ca="1">IFERROR(__xludf.DUMMYFUNCTION("""COMPUTED_VALUE"""),"Panamax LR1 Tanker")</f>
        <v>Panamax LR1 Tanker</v>
      </c>
      <c r="C76" s="9">
        <f ca="1">IFERROR(__xludf.DUMMYFUNCTION("""COMPUTED_VALUE"""),74900)</f>
        <v>74900</v>
      </c>
      <c r="D76" s="8" t="str">
        <f ca="1">IFERROR(__xludf.DUMMYFUNCTION("""COMPUTED_VALUE"""),"2010-Korea")</f>
        <v>2010-Korea</v>
      </c>
      <c r="E76" s="8" t="str">
        <f ca="1">IFERROR(__xludf.DUMMYFUNCTION("""COMPUTED_VALUE"""),"228.0 x 32.20")</f>
        <v>228.0 x 32.20</v>
      </c>
      <c r="F76" s="8" t="str">
        <f ca="1">IFERROR(__xludf.DUMMYFUNCTION("""COMPUTED_VALUE"""),"12")</f>
        <v>12</v>
      </c>
      <c r="G76" s="8">
        <f ca="1">IFERROR(__xludf.DUMMYFUNCTION("""COMPUTED_VALUE"""),85000)</f>
        <v>85000</v>
      </c>
      <c r="H76" s="8" t="str">
        <f ca="1">IFERROR(__xludf.DUMMYFUNCTION("""COMPUTED_VALUE"""),"N/Y Epoxy")</f>
        <v>N/Y Epoxy</v>
      </c>
      <c r="I76" s="8" t="str">
        <f ca="1">IFERROR(__xludf.DUMMYFUNCTION("""COMPUTED_VALUE"""),"6 Pumps")</f>
        <v>6 Pumps</v>
      </c>
      <c r="J76" s="8" t="str">
        <f ca="1">IFERROR(__xludf.DUMMYFUNCTION("""COMPUTED_VALUE"""),"MAN-B&amp;W")</f>
        <v>MAN-B&amp;W</v>
      </c>
      <c r="K76" s="8" t="str">
        <f ca="1">IFERROR(__xludf.DUMMYFUNCTION("""COMPUTED_VALUE"""),"-")</f>
        <v>-</v>
      </c>
      <c r="L76" s="8" t="str">
        <f ca="1">IFERROR(__xludf.DUMMYFUNCTION("""COMPUTED_VALUE"""),"To be chkd")</f>
        <v>To be chkd</v>
      </c>
      <c r="M76" s="8" t="str">
        <f ca="1">IFERROR(__xludf.DUMMYFUNCTION("""COMPUTED_VALUE"""),"LR 12/25D")</f>
        <v>LR 12/25D</v>
      </c>
      <c r="N76" s="8" t="str">
        <f ca="1">IFERROR(__xludf.DUMMYFUNCTION("""COMPUTED_VALUE"""),"Not Keen")</f>
        <v>Not Keen</v>
      </c>
      <c r="O76" s="8" t="str">
        <f ca="1">IFERROR(__xludf.DUMMYFUNCTION("""COMPUTED_VALUE"""),"23-22.0 m")</f>
        <v>23-22.0 m</v>
      </c>
    </row>
    <row r="77" spans="1:15" ht="15.75" customHeight="1" x14ac:dyDescent="0.25">
      <c r="A77" s="8" t="str">
        <f ca="1">IFERROR(__xludf.DUMMYFUNCTION("""COMPUTED_VALUE"""),"TA 74859/09")</f>
        <v>TA 74859/09</v>
      </c>
      <c r="B77" s="8" t="str">
        <f ca="1">IFERROR(__xludf.DUMMYFUNCTION("""COMPUTED_VALUE"""),"Panamax LR1 Tanker")</f>
        <v>Panamax LR1 Tanker</v>
      </c>
      <c r="C77" s="9">
        <f ca="1">IFERROR(__xludf.DUMMYFUNCTION("""COMPUTED_VALUE"""),74859)</f>
        <v>74859</v>
      </c>
      <c r="D77" s="8" t="str">
        <f ca="1">IFERROR(__xludf.DUMMYFUNCTION("""COMPUTED_VALUE"""),"2009-Korea")</f>
        <v>2009-Korea</v>
      </c>
      <c r="E77" s="8" t="str">
        <f ca="1">IFERROR(__xludf.DUMMYFUNCTION("""COMPUTED_VALUE"""),"228.0 x 32.24")</f>
        <v>228.0 x 32.24</v>
      </c>
      <c r="F77" s="8" t="str">
        <f ca="1">IFERROR(__xludf.DUMMYFUNCTION("""COMPUTED_VALUE"""),"14")</f>
        <v>14</v>
      </c>
      <c r="G77" s="8">
        <f ca="1">IFERROR(__xludf.DUMMYFUNCTION("""COMPUTED_VALUE"""),80260)</f>
        <v>80260</v>
      </c>
      <c r="H77" s="8" t="str">
        <f ca="1">IFERROR(__xludf.DUMMYFUNCTION("""COMPUTED_VALUE"""),"Y/Y Epoxy")</f>
        <v>Y/Y Epoxy</v>
      </c>
      <c r="I77" s="8" t="str">
        <f ca="1">IFERROR(__xludf.DUMMYFUNCTION("""COMPUTED_VALUE"""),"3 x 2000")</f>
        <v>3 x 2000</v>
      </c>
      <c r="J77" s="8" t="str">
        <f ca="1">IFERROR(__xludf.DUMMYFUNCTION("""COMPUTED_VALUE"""),"MAN-B&amp;W")</f>
        <v>MAN-B&amp;W</v>
      </c>
      <c r="K77" s="8" t="str">
        <f ca="1">IFERROR(__xludf.DUMMYFUNCTION("""COMPUTED_VALUE"""),"-")</f>
        <v>-</v>
      </c>
      <c r="L77" s="8" t="str">
        <f ca="1">IFERROR(__xludf.DUMMYFUNCTION("""COMPUTED_VALUE"""),"To be chkd")</f>
        <v>To be chkd</v>
      </c>
      <c r="M77" s="8" t="str">
        <f ca="1">IFERROR(__xludf.DUMMYFUNCTION("""COMPUTED_VALUE"""),"IR NV 6/29D")</f>
        <v>IR NV 6/29D</v>
      </c>
      <c r="N77" s="10" t="str">
        <f ca="1">IFERROR(__xludf.DUMMYFUNCTION("""COMPUTED_VALUE"""),"SE.Asia")</f>
        <v>SE.Asia</v>
      </c>
      <c r="O77" s="8" t="str">
        <f ca="1">IFERROR(__xludf.DUMMYFUNCTION("""COMPUTED_VALUE"""),"B.offers")</f>
        <v>B.offers</v>
      </c>
    </row>
    <row r="78" spans="1:15" ht="15.75" customHeight="1" x14ac:dyDescent="0.25">
      <c r="A78" s="8" t="str">
        <f ca="1">IFERROR(__xludf.DUMMYFUNCTION("""COMPUTED_VALUE"""),"TA 74574/10")</f>
        <v>TA 74574/10</v>
      </c>
      <c r="B78" s="8" t="str">
        <f ca="1">IFERROR(__xludf.DUMMYFUNCTION("""COMPUTED_VALUE"""),"Panamax LR1 Tanker")</f>
        <v>Panamax LR1 Tanker</v>
      </c>
      <c r="C78" s="9">
        <f ca="1">IFERROR(__xludf.DUMMYFUNCTION("""COMPUTED_VALUE"""),74574)</f>
        <v>74574</v>
      </c>
      <c r="D78" s="8" t="str">
        <f ca="1">IFERROR(__xludf.DUMMYFUNCTION("""COMPUTED_VALUE"""),"2010-Korea")</f>
        <v>2010-Korea</v>
      </c>
      <c r="E78" s="8" t="str">
        <f ca="1">IFERROR(__xludf.DUMMYFUNCTION("""COMPUTED_VALUE"""),"228.4 x 32.20")</f>
        <v>228.4 x 32.20</v>
      </c>
      <c r="F78" s="8" t="str">
        <f ca="1">IFERROR(__xludf.DUMMYFUNCTION("""COMPUTED_VALUE"""),"14")</f>
        <v>14</v>
      </c>
      <c r="G78" s="8">
        <f ca="1">IFERROR(__xludf.DUMMYFUNCTION("""COMPUTED_VALUE"""),82360)</f>
        <v>82360</v>
      </c>
      <c r="H78" s="8" t="str">
        <f ca="1">IFERROR(__xludf.DUMMYFUNCTION("""COMPUTED_VALUE"""),"N/Y Epoxy")</f>
        <v>N/Y Epoxy</v>
      </c>
      <c r="I78" s="8" t="str">
        <f ca="1">IFERROR(__xludf.DUMMYFUNCTION("""COMPUTED_VALUE"""),"12 x 900")</f>
        <v>12 x 900</v>
      </c>
      <c r="J78" s="8" t="str">
        <f ca="1">IFERROR(__xludf.DUMMYFUNCTION("""COMPUTED_VALUE"""),"MAN-B&amp;W")</f>
        <v>MAN-B&amp;W</v>
      </c>
      <c r="K78" s="8" t="str">
        <f ca="1">IFERROR(__xludf.DUMMYFUNCTION("""COMPUTED_VALUE"""),"14.5k/44 t IFO")</f>
        <v>14.5k/44 t IFO</v>
      </c>
      <c r="L78" s="8" t="str">
        <f ca="1">IFERROR(__xludf.DUMMYFUNCTION("""COMPUTED_VALUE"""),"To be chkd")</f>
        <v>To be chkd</v>
      </c>
      <c r="M78" s="8" t="str">
        <f ca="1">IFERROR(__xludf.DUMMYFUNCTION("""COMPUTED_VALUE"""),"LR 10/25D")</f>
        <v>LR 10/25D</v>
      </c>
      <c r="N78" s="8" t="str">
        <f ca="1">IFERROR(__xludf.DUMMYFUNCTION("""COMPUTED_VALUE"""),"Rotterdam")</f>
        <v>Rotterdam</v>
      </c>
      <c r="O78" s="8" t="str">
        <f ca="1">IFERROR(__xludf.DUMMYFUNCTION("""COMPUTED_VALUE"""),"22.0 m")</f>
        <v>22.0 m</v>
      </c>
    </row>
    <row r="79" spans="1:15" ht="15.75" customHeight="1" x14ac:dyDescent="0.25">
      <c r="A79" s="8" t="str">
        <f ca="1">IFERROR(__xludf.DUMMYFUNCTION("""COMPUTED_VALUE"""),"TA 74543/06A")</f>
        <v>TA 74543/06A</v>
      </c>
      <c r="B79" s="8" t="str">
        <f ca="1">IFERROR(__xludf.DUMMYFUNCTION("""COMPUTED_VALUE"""),"Panamax LR1 Tanker")</f>
        <v>Panamax LR1 Tanker</v>
      </c>
      <c r="C79" s="9">
        <f ca="1">IFERROR(__xludf.DUMMYFUNCTION("""COMPUTED_VALUE"""),74543)</f>
        <v>74543</v>
      </c>
      <c r="D79" s="8" t="str">
        <f ca="1">IFERROR(__xludf.DUMMYFUNCTION("""COMPUTED_VALUE"""),"2006-Japan")</f>
        <v>2006-Japan</v>
      </c>
      <c r="E79" s="8" t="str">
        <f ca="1">IFERROR(__xludf.DUMMYFUNCTION("""COMPUTED_VALUE"""),"228.5 x 32.26")</f>
        <v>228.5 x 32.26</v>
      </c>
      <c r="F79" s="8" t="str">
        <f ca="1">IFERROR(__xludf.DUMMYFUNCTION("""COMPUTED_VALUE"""),"14")</f>
        <v>14</v>
      </c>
      <c r="G79" s="8">
        <f ca="1">IFERROR(__xludf.DUMMYFUNCTION("""COMPUTED_VALUE"""),81766)</f>
        <v>81766</v>
      </c>
      <c r="H79" s="8" t="str">
        <f ca="1">IFERROR(__xludf.DUMMYFUNCTION("""COMPUTED_VALUE"""),"Y/Y Epoxy")</f>
        <v>Y/Y Epoxy</v>
      </c>
      <c r="I79" s="8" t="str">
        <f ca="1">IFERROR(__xludf.DUMMYFUNCTION("""COMPUTED_VALUE"""),"3 x 2000")</f>
        <v>3 x 2000</v>
      </c>
      <c r="J79" s="8" t="str">
        <f ca="1">IFERROR(__xludf.DUMMYFUNCTION("""COMPUTED_VALUE"""),"MAN-B&amp;W")</f>
        <v>MAN-B&amp;W</v>
      </c>
      <c r="K79" s="8" t="str">
        <f ca="1">IFERROR(__xludf.DUMMYFUNCTION("""COMPUTED_VALUE"""),"15 K/50 t IFO")</f>
        <v>15 K/50 t IFO</v>
      </c>
      <c r="L79" s="8" t="str">
        <f ca="1">IFERROR(__xludf.DUMMYFUNCTION("""COMPUTED_VALUE"""),"To be chkd")</f>
        <v>To be chkd</v>
      </c>
      <c r="M79" s="8" t="str">
        <f ca="1">IFERROR(__xludf.DUMMYFUNCTION("""COMPUTED_VALUE"""),"LR 7/26D")</f>
        <v>LR 7/26D</v>
      </c>
      <c r="N79" s="8" t="str">
        <f ca="1">IFERROR(__xludf.DUMMYFUNCTION("""COMPUTED_VALUE"""),"Americas")</f>
        <v>Americas</v>
      </c>
      <c r="O79" s="8" t="str">
        <f ca="1">IFERROR(__xludf.DUMMYFUNCTION("""COMPUTED_VALUE"""),"B.offers")</f>
        <v>B.offers</v>
      </c>
    </row>
    <row r="80" spans="1:15" ht="15.75" customHeight="1" x14ac:dyDescent="0.25">
      <c r="A80" s="8" t="str">
        <f ca="1">IFERROR(__xludf.DUMMYFUNCTION("""COMPUTED_VALUE"""),"TA 74543/06B")</f>
        <v>TA 74543/06B</v>
      </c>
      <c r="B80" s="8" t="str">
        <f ca="1">IFERROR(__xludf.DUMMYFUNCTION("""COMPUTED_VALUE"""),"Panamax LR1 Tanker")</f>
        <v>Panamax LR1 Tanker</v>
      </c>
      <c r="C80" s="9">
        <f ca="1">IFERROR(__xludf.DUMMYFUNCTION("""COMPUTED_VALUE"""),74543)</f>
        <v>74543</v>
      </c>
      <c r="D80" s="8" t="str">
        <f ca="1">IFERROR(__xludf.DUMMYFUNCTION("""COMPUTED_VALUE"""),"2006-Japan")</f>
        <v>2006-Japan</v>
      </c>
      <c r="E80" s="8" t="str">
        <f ca="1">IFERROR(__xludf.DUMMYFUNCTION("""COMPUTED_VALUE"""),"228.5 x 32.26")</f>
        <v>228.5 x 32.26</v>
      </c>
      <c r="F80" s="8" t="str">
        <f ca="1">IFERROR(__xludf.DUMMYFUNCTION("""COMPUTED_VALUE"""),"14")</f>
        <v>14</v>
      </c>
      <c r="G80" s="8">
        <f ca="1">IFERROR(__xludf.DUMMYFUNCTION("""COMPUTED_VALUE"""),81766)</f>
        <v>81766</v>
      </c>
      <c r="H80" s="8" t="str">
        <f ca="1">IFERROR(__xludf.DUMMYFUNCTION("""COMPUTED_VALUE"""),"Y/Y Epoxy")</f>
        <v>Y/Y Epoxy</v>
      </c>
      <c r="I80" s="8" t="str">
        <f ca="1">IFERROR(__xludf.DUMMYFUNCTION("""COMPUTED_VALUE"""),"3 X 2000")</f>
        <v>3 X 2000</v>
      </c>
      <c r="J80" s="8" t="str">
        <f ca="1">IFERROR(__xludf.DUMMYFUNCTION("""COMPUTED_VALUE"""),"MAN-B&amp;W")</f>
        <v>MAN-B&amp;W</v>
      </c>
      <c r="K80" s="8" t="str">
        <f ca="1">IFERROR(__xludf.DUMMYFUNCTION("""COMPUTED_VALUE"""),"15 K/50 t IFO")</f>
        <v>15 K/50 t IFO</v>
      </c>
      <c r="L80" s="8" t="str">
        <f ca="1">IFERROR(__xludf.DUMMYFUNCTION("""COMPUTED_VALUE"""),"To be chkd")</f>
        <v>To be chkd</v>
      </c>
      <c r="M80" s="8" t="str">
        <f ca="1">IFERROR(__xludf.DUMMYFUNCTION("""COMPUTED_VALUE"""),"LR 6/26D")</f>
        <v>LR 6/26D</v>
      </c>
      <c r="N80" s="8" t="str">
        <f ca="1">IFERROR(__xludf.DUMMYFUNCTION("""COMPUTED_VALUE"""),"Americas")</f>
        <v>Americas</v>
      </c>
      <c r="O80" s="8" t="str">
        <f ca="1">IFERROR(__xludf.DUMMYFUNCTION("""COMPUTED_VALUE"""),"B.offers")</f>
        <v>B.offers</v>
      </c>
    </row>
    <row r="81" spans="1:15" ht="15.75" customHeight="1" x14ac:dyDescent="0.25">
      <c r="A81" s="8" t="str">
        <f ca="1">IFERROR(__xludf.DUMMYFUNCTION("""COMPUTED_VALUE"""),"TA 74032/07")</f>
        <v>TA 74032/07</v>
      </c>
      <c r="B81" s="8" t="str">
        <f ca="1">IFERROR(__xludf.DUMMYFUNCTION("""COMPUTED_VALUE"""),"Panamax LR1 Tanker")</f>
        <v>Panamax LR1 Tanker</v>
      </c>
      <c r="C81" s="9">
        <f ca="1">IFERROR(__xludf.DUMMYFUNCTION("""COMPUTED_VALUE"""),74032)</f>
        <v>74032</v>
      </c>
      <c r="D81" s="8" t="str">
        <f ca="1">IFERROR(__xludf.DUMMYFUNCTION("""COMPUTED_VALUE"""),"2007-China")</f>
        <v>2007-China</v>
      </c>
      <c r="E81" s="8" t="str">
        <f ca="1">IFERROR(__xludf.DUMMYFUNCTION("""COMPUTED_VALUE"""),"228.6 x 32.2")</f>
        <v>228.6 x 32.2</v>
      </c>
      <c r="F81" s="8" t="str">
        <f ca="1">IFERROR(__xludf.DUMMYFUNCTION("""COMPUTED_VALUE"""),"12")</f>
        <v>12</v>
      </c>
      <c r="G81" s="8">
        <f ca="1">IFERROR(__xludf.DUMMYFUNCTION("""COMPUTED_VALUE"""),81291)</f>
        <v>81291</v>
      </c>
      <c r="H81" s="8" t="str">
        <f ca="1">IFERROR(__xludf.DUMMYFUNCTION("""COMPUTED_VALUE"""),"Y/Y Epoxy")</f>
        <v>Y/Y Epoxy</v>
      </c>
      <c r="I81" s="8" t="str">
        <f ca="1">IFERROR(__xludf.DUMMYFUNCTION("""COMPUTED_VALUE"""),"3 x 2300")</f>
        <v>3 x 2300</v>
      </c>
      <c r="J81" s="8" t="str">
        <f ca="1">IFERROR(__xludf.DUMMYFUNCTION("""COMPUTED_VALUE"""),"MAN-B&amp;W")</f>
        <v>MAN-B&amp;W</v>
      </c>
      <c r="K81" s="8" t="str">
        <f ca="1">IFERROR(__xludf.DUMMYFUNCTION("""COMPUTED_VALUE"""),"-")</f>
        <v>-</v>
      </c>
      <c r="L81" s="8" t="str">
        <f ca="1">IFERROR(__xludf.DUMMYFUNCTION("""COMPUTED_VALUE"""),"Fitted")</f>
        <v>Fitted</v>
      </c>
      <c r="M81" s="8" t="str">
        <f ca="1">IFERROR(__xludf.DUMMYFUNCTION("""COMPUTED_VALUE"""),"SS due 5/27")</f>
        <v>SS due 5/27</v>
      </c>
      <c r="N81" s="8" t="str">
        <f ca="1">IFERROR(__xludf.DUMMYFUNCTION("""COMPUTED_VALUE"""),"Greece in DD")</f>
        <v>Greece in DD</v>
      </c>
      <c r="O81" s="8" t="str">
        <f ca="1">IFERROR(__xludf.DUMMYFUNCTION("""COMPUTED_VALUE"""),"14-13.5 m")</f>
        <v>14-13.5 m</v>
      </c>
    </row>
    <row r="82" spans="1:15" ht="15.75" customHeight="1" x14ac:dyDescent="0.25">
      <c r="A82" s="8" t="str">
        <f ca="1">IFERROR(__xludf.DUMMYFUNCTION("""COMPUTED_VALUE"""),"TA 73976/07")</f>
        <v>TA 73976/07</v>
      </c>
      <c r="B82" s="8" t="str">
        <f ca="1">IFERROR(__xludf.DUMMYFUNCTION("""COMPUTED_VALUE"""),"Panamax LR1 Tanker")</f>
        <v>Panamax LR1 Tanker</v>
      </c>
      <c r="C82" s="9">
        <f ca="1">IFERROR(__xludf.DUMMYFUNCTION("""COMPUTED_VALUE"""),73976)</f>
        <v>73976</v>
      </c>
      <c r="D82" s="8" t="str">
        <f ca="1">IFERROR(__xludf.DUMMYFUNCTION("""COMPUTED_VALUE"""),"2007-China")</f>
        <v>2007-China</v>
      </c>
      <c r="E82" s="8" t="str">
        <f ca="1">IFERROR(__xludf.DUMMYFUNCTION("""COMPUTED_VALUE"""),"228.6 x 32.2")</f>
        <v>228.6 x 32.2</v>
      </c>
      <c r="F82" s="8" t="str">
        <f ca="1">IFERROR(__xludf.DUMMYFUNCTION("""COMPUTED_VALUE"""),"12")</f>
        <v>12</v>
      </c>
      <c r="G82" s="8">
        <f ca="1">IFERROR(__xludf.DUMMYFUNCTION("""COMPUTED_VALUE"""),81291)</f>
        <v>81291</v>
      </c>
      <c r="H82" s="8" t="str">
        <f ca="1">IFERROR(__xludf.DUMMYFUNCTION("""COMPUTED_VALUE"""),"Y/Y Epoxy")</f>
        <v>Y/Y Epoxy</v>
      </c>
      <c r="I82" s="8" t="str">
        <f ca="1">IFERROR(__xludf.DUMMYFUNCTION("""COMPUTED_VALUE"""),"3 x 2300")</f>
        <v>3 x 2300</v>
      </c>
      <c r="J82" s="8" t="str">
        <f ca="1">IFERROR(__xludf.DUMMYFUNCTION("""COMPUTED_VALUE"""),"MAN-B&amp;W")</f>
        <v>MAN-B&amp;W</v>
      </c>
      <c r="K82" s="8" t="str">
        <f ca="1">IFERROR(__xludf.DUMMYFUNCTION("""COMPUTED_VALUE"""),"-")</f>
        <v>-</v>
      </c>
      <c r="L82" s="8" t="str">
        <f ca="1">IFERROR(__xludf.DUMMYFUNCTION("""COMPUTED_VALUE"""),"Fitted")</f>
        <v>Fitted</v>
      </c>
      <c r="M82" s="8" t="str">
        <f ca="1">IFERROR(__xludf.DUMMYFUNCTION("""COMPUTED_VALUE"""),"SS due 9/27")</f>
        <v>SS due 9/27</v>
      </c>
      <c r="N82" s="8" t="str">
        <f ca="1">IFERROR(__xludf.DUMMYFUNCTION("""COMPUTED_VALUE"""),"Gibraltar")</f>
        <v>Gibraltar</v>
      </c>
      <c r="O82" s="8" t="str">
        <f ca="1">IFERROR(__xludf.DUMMYFUNCTION("""COMPUTED_VALUE"""),"12-11.5m")</f>
        <v>12-11.5m</v>
      </c>
    </row>
    <row r="83" spans="1:15" ht="15.75" customHeight="1" x14ac:dyDescent="0.25">
      <c r="A83" s="8" t="str">
        <f ca="1">IFERROR(__xludf.DUMMYFUNCTION("""COMPUTED_VALUE"""),"TA 73021/03")</f>
        <v>TA 73021/03</v>
      </c>
      <c r="B83" s="8" t="str">
        <f ca="1">IFERROR(__xludf.DUMMYFUNCTION("""COMPUTED_VALUE"""),"Panamax LR1 Tanker")</f>
        <v>Panamax LR1 Tanker</v>
      </c>
      <c r="C83" s="9">
        <f ca="1">IFERROR(__xludf.DUMMYFUNCTION("""COMPUTED_VALUE"""),73021)</f>
        <v>73021</v>
      </c>
      <c r="D83" s="8" t="str">
        <f ca="1">IFERROR(__xludf.DUMMYFUNCTION("""COMPUTED_VALUE"""),"2003-Korea")</f>
        <v>2003-Korea</v>
      </c>
      <c r="E83" s="8" t="str">
        <f ca="1">IFERROR(__xludf.DUMMYFUNCTION("""COMPUTED_VALUE"""),"227.2 x 32.2")</f>
        <v>227.2 x 32.2</v>
      </c>
      <c r="F83" s="8" t="str">
        <f ca="1">IFERROR(__xludf.DUMMYFUNCTION("""COMPUTED_VALUE"""),"12")</f>
        <v>12</v>
      </c>
      <c r="G83" s="8">
        <f ca="1">IFERROR(__xludf.DUMMYFUNCTION("""COMPUTED_VALUE"""),75740)</f>
        <v>75740</v>
      </c>
      <c r="H83" s="8" t="str">
        <f ca="1">IFERROR(__xludf.DUMMYFUNCTION("""COMPUTED_VALUE"""),"Y/Y Epoxy")</f>
        <v>Y/Y Epoxy</v>
      </c>
      <c r="I83" s="8" t="str">
        <f ca="1">IFERROR(__xludf.DUMMYFUNCTION("""COMPUTED_VALUE"""),"5 x 2000")</f>
        <v>5 x 2000</v>
      </c>
      <c r="J83" s="8" t="str">
        <f ca="1">IFERROR(__xludf.DUMMYFUNCTION("""COMPUTED_VALUE"""),"MAN ")</f>
        <v xml:space="preserve">MAN </v>
      </c>
      <c r="K83" s="8" t="str">
        <f ca="1">IFERROR(__xludf.DUMMYFUNCTION("""COMPUTED_VALUE"""),"14.5k/36t IFO")</f>
        <v>14.5k/36t IFO</v>
      </c>
      <c r="L83" s="8" t="str">
        <f ca="1">IFERROR(__xludf.DUMMYFUNCTION("""COMPUTED_VALUE"""),"To be chkd")</f>
        <v>To be chkd</v>
      </c>
      <c r="M83" s="8" t="str">
        <f ca="1">IFERROR(__xludf.DUMMYFUNCTION("""COMPUTED_VALUE"""),"SS/DD 2/24")</f>
        <v>SS/DD 2/24</v>
      </c>
      <c r="N83" s="8" t="str">
        <f ca="1">IFERROR(__xludf.DUMMYFUNCTION("""COMPUTED_VALUE"""),"Singapore")</f>
        <v>Singapore</v>
      </c>
      <c r="O83" s="8" t="str">
        <f ca="1">IFERROR(__xludf.DUMMYFUNCTION("""COMPUTED_VALUE"""),"14.5 m")</f>
        <v>14.5 m</v>
      </c>
    </row>
    <row r="84" spans="1:15" ht="15.75" customHeight="1" x14ac:dyDescent="0.25">
      <c r="A84" s="8" t="str">
        <f ca="1">IFERROR(__xludf.DUMMYFUNCTION("""COMPUTED_VALUE"""),"TA 72908/03")</f>
        <v>TA 72908/03</v>
      </c>
      <c r="B84" s="8" t="str">
        <f ca="1">IFERROR(__xludf.DUMMYFUNCTION("""COMPUTED_VALUE"""),"Panamax LR1 Tanker")</f>
        <v>Panamax LR1 Tanker</v>
      </c>
      <c r="C84" s="9">
        <f ca="1">IFERROR(__xludf.DUMMYFUNCTION("""COMPUTED_VALUE"""),72908)</f>
        <v>72908</v>
      </c>
      <c r="D84" s="8" t="str">
        <f ca="1">IFERROR(__xludf.DUMMYFUNCTION("""COMPUTED_VALUE"""),"2003-Korea")</f>
        <v>2003-Korea</v>
      </c>
      <c r="E84" s="8" t="str">
        <f ca="1">IFERROR(__xludf.DUMMYFUNCTION("""COMPUTED_VALUE"""),"228.5 x 32.2")</f>
        <v>228.5 x 32.2</v>
      </c>
      <c r="F84" s="8" t="str">
        <f ca="1">IFERROR(__xludf.DUMMYFUNCTION("""COMPUTED_VALUE"""),"14")</f>
        <v>14</v>
      </c>
      <c r="G84" s="8">
        <f ca="1">IFERROR(__xludf.DUMMYFUNCTION("""COMPUTED_VALUE"""),75742)</f>
        <v>75742</v>
      </c>
      <c r="H84" s="8" t="str">
        <f ca="1">IFERROR(__xludf.DUMMYFUNCTION("""COMPUTED_VALUE"""),"Y/Y Epoxy")</f>
        <v>Y/Y Epoxy</v>
      </c>
      <c r="I84" s="8" t="str">
        <f ca="1">IFERROR(__xludf.DUMMYFUNCTION("""COMPUTED_VALUE"""),"3 X 2000")</f>
        <v>3 X 2000</v>
      </c>
      <c r="J84" s="8" t="str">
        <f ca="1">IFERROR(__xludf.DUMMYFUNCTION("""COMPUTED_VALUE"""),"B&amp;W")</f>
        <v>B&amp;W</v>
      </c>
      <c r="K84" s="8" t="str">
        <f ca="1">IFERROR(__xludf.DUMMYFUNCTION("""COMPUTED_VALUE"""),"14.5 KN ON 36 t")</f>
        <v>14.5 KN ON 36 t</v>
      </c>
      <c r="L84" s="8" t="str">
        <f ca="1">IFERROR(__xludf.DUMMYFUNCTION("""COMPUTED_VALUE"""),"To be chkd")</f>
        <v>To be chkd</v>
      </c>
      <c r="M84" s="8" t="str">
        <f ca="1">IFERROR(__xludf.DUMMYFUNCTION("""COMPUTED_VALUE"""),"NV 1/28D")</f>
        <v>NV 1/28D</v>
      </c>
      <c r="N84" s="8" t="str">
        <f ca="1">IFERROR(__xludf.DUMMYFUNCTION("""COMPUTED_VALUE"""),"Nigeria WAF")</f>
        <v>Nigeria WAF</v>
      </c>
      <c r="O84" s="8" t="str">
        <f ca="1">IFERROR(__xludf.DUMMYFUNCTION("""COMPUTED_VALUE"""),"B.offers")</f>
        <v>B.offers</v>
      </c>
    </row>
    <row r="85" spans="1:15" ht="15.75" customHeight="1" x14ac:dyDescent="0.25">
      <c r="A85" s="8" t="str">
        <f ca="1">IFERROR(__xludf.DUMMYFUNCTION("""COMPUTED_VALUE"""),"TA 72829/04")</f>
        <v>TA 72829/04</v>
      </c>
      <c r="B85" s="8" t="str">
        <f ca="1">IFERROR(__xludf.DUMMYFUNCTION("""COMPUTED_VALUE"""),"Panamax LR1 DPP Tanker")</f>
        <v>Panamax LR1 DPP Tanker</v>
      </c>
      <c r="C85" s="9">
        <f ca="1">IFERROR(__xludf.DUMMYFUNCTION("""COMPUTED_VALUE"""),72829)</f>
        <v>72829</v>
      </c>
      <c r="D85" s="8" t="str">
        <f ca="1">IFERROR(__xludf.DUMMYFUNCTION("""COMPUTED_VALUE"""),"2004-China")</f>
        <v>2004-China</v>
      </c>
      <c r="E85" s="8" t="str">
        <f ca="1">IFERROR(__xludf.DUMMYFUNCTION("""COMPUTED_VALUE"""),"228.6 x 32.2")</f>
        <v>228.6 x 32.2</v>
      </c>
      <c r="F85" s="8" t="str">
        <f ca="1">IFERROR(__xludf.DUMMYFUNCTION("""COMPUTED_VALUE"""),"14")</f>
        <v>14</v>
      </c>
      <c r="G85" s="8">
        <f ca="1">IFERROR(__xludf.DUMMYFUNCTION("""COMPUTED_VALUE"""),81519)</f>
        <v>81519</v>
      </c>
      <c r="H85" s="8" t="str">
        <f ca="1">IFERROR(__xludf.DUMMYFUNCTION("""COMPUTED_VALUE"""),"Y Alubrass/Y Epo")</f>
        <v>Y Alubrass/Y Epo</v>
      </c>
      <c r="I85" s="8" t="str">
        <f ca="1">IFERROR(__xludf.DUMMYFUNCTION("""COMPUTED_VALUE"""),"3 x 2000")</f>
        <v>3 x 2000</v>
      </c>
      <c r="J85" s="8" t="str">
        <f ca="1">IFERROR(__xludf.DUMMYFUNCTION("""COMPUTED_VALUE"""),"MAN-B&amp;W")</f>
        <v>MAN-B&amp;W</v>
      </c>
      <c r="K85" s="8" t="str">
        <f ca="1">IFERROR(__xludf.DUMMYFUNCTION("""COMPUTED_VALUE"""),"-")</f>
        <v>-</v>
      </c>
      <c r="L85" s="8" t="str">
        <f ca="1">IFERROR(__xludf.DUMMYFUNCTION("""COMPUTED_VALUE"""),"Fitted")</f>
        <v>Fitted</v>
      </c>
      <c r="M85" s="8" t="str">
        <f ca="1">IFERROR(__xludf.DUMMYFUNCTION("""COMPUTED_VALUE"""),"NV 11.24D")</f>
        <v>NV 11.24D</v>
      </c>
      <c r="N85" s="8" t="str">
        <f ca="1">IFERROR(__xludf.DUMMYFUNCTION("""COMPUTED_VALUE"""),"AG ")</f>
        <v xml:space="preserve">AG </v>
      </c>
      <c r="O85" s="8" t="str">
        <f ca="1">IFERROR(__xludf.DUMMYFUNCTION("""COMPUTED_VALUE"""),"B.offers")</f>
        <v>B.offers</v>
      </c>
    </row>
    <row r="86" spans="1:15" ht="15.75" customHeight="1" x14ac:dyDescent="0.25">
      <c r="A86" s="8" t="str">
        <f ca="1">IFERROR(__xludf.DUMMYFUNCTION("""COMPUTED_VALUE"""),"TA 72825/05")</f>
        <v>TA 72825/05</v>
      </c>
      <c r="B86" s="8" t="str">
        <f ca="1">IFERROR(__xludf.DUMMYFUNCTION("""COMPUTED_VALUE"""),"Panamax LR1 Tanker")</f>
        <v>Panamax LR1 Tanker</v>
      </c>
      <c r="C86" s="9">
        <f ca="1">IFERROR(__xludf.DUMMYFUNCTION("""COMPUTED_VALUE"""),72825)</f>
        <v>72825</v>
      </c>
      <c r="D86" s="8" t="str">
        <f ca="1">IFERROR(__xludf.DUMMYFUNCTION("""COMPUTED_VALUE"""),"2005-CHina")</f>
        <v>2005-CHina</v>
      </c>
      <c r="E86" s="8" t="str">
        <f ca="1">IFERROR(__xludf.DUMMYFUNCTION("""COMPUTED_VALUE"""),"228.6 x 32.26")</f>
        <v>228.6 x 32.26</v>
      </c>
      <c r="F86" s="8" t="str">
        <f ca="1">IFERROR(__xludf.DUMMYFUNCTION("""COMPUTED_VALUE"""),"14")</f>
        <v>14</v>
      </c>
      <c r="G86" s="8">
        <f ca="1">IFERROR(__xludf.DUMMYFUNCTION("""COMPUTED_VALUE"""),78363)</f>
        <v>78363</v>
      </c>
      <c r="H86" s="8" t="str">
        <f ca="1">IFERROR(__xludf.DUMMYFUNCTION("""COMPUTED_VALUE"""),"Y/Y Epoxy")</f>
        <v>Y/Y Epoxy</v>
      </c>
      <c r="I86" s="8" t="str">
        <f ca="1">IFERROR(__xludf.DUMMYFUNCTION("""COMPUTED_VALUE"""),"3 x 2000")</f>
        <v>3 x 2000</v>
      </c>
      <c r="J86" s="8" t="str">
        <f ca="1">IFERROR(__xludf.DUMMYFUNCTION("""COMPUTED_VALUE"""),"MAN-B&amp;W")</f>
        <v>MAN-B&amp;W</v>
      </c>
      <c r="K86" s="8" t="str">
        <f ca="1">IFERROR(__xludf.DUMMYFUNCTION("""COMPUTED_VALUE"""),"-")</f>
        <v>-</v>
      </c>
      <c r="L86" s="8" t="str">
        <f ca="1">IFERROR(__xludf.DUMMYFUNCTION("""COMPUTED_VALUE"""),"To be chkd")</f>
        <v>To be chkd</v>
      </c>
      <c r="M86" s="8" t="str">
        <f ca="1">IFERROR(__xludf.DUMMYFUNCTION("""COMPUTED_VALUE"""),"NK 10/28D")</f>
        <v>NK 10/28D</v>
      </c>
      <c r="N86" s="8" t="str">
        <f ca="1">IFERROR(__xludf.DUMMYFUNCTION("""COMPUTED_VALUE"""),"WC S.America")</f>
        <v>WC S.America</v>
      </c>
      <c r="O86" s="8" t="str">
        <f ca="1">IFERROR(__xludf.DUMMYFUNCTION("""COMPUTED_VALUE"""),"B.offers")</f>
        <v>B.offers</v>
      </c>
    </row>
    <row r="87" spans="1:15" ht="15.75" customHeight="1" x14ac:dyDescent="0.25">
      <c r="A87" s="8" t="str">
        <f ca="1">IFERROR(__xludf.DUMMYFUNCTION("""COMPUTED_VALUE"""),"TA 72365/04")</f>
        <v>TA 72365/04</v>
      </c>
      <c r="B87" s="8" t="str">
        <f ca="1">IFERROR(__xludf.DUMMYFUNCTION("""COMPUTED_VALUE"""),"Panamax LR1 Products Tanker")</f>
        <v>Panamax LR1 Products Tanker</v>
      </c>
      <c r="C87" s="9">
        <f ca="1">IFERROR(__xludf.DUMMYFUNCTION("""COMPUTED_VALUE"""),72365)</f>
        <v>72365</v>
      </c>
      <c r="D87" s="8" t="str">
        <f ca="1">IFERROR(__xludf.DUMMYFUNCTION("""COMPUTED_VALUE"""),"2004-China")</f>
        <v>2004-China</v>
      </c>
      <c r="E87" s="8" t="str">
        <f ca="1">IFERROR(__xludf.DUMMYFUNCTION("""COMPUTED_VALUE"""),"228.6 x 32.2")</f>
        <v>228.6 x 32.2</v>
      </c>
      <c r="F87" s="8" t="str">
        <f ca="1">IFERROR(__xludf.DUMMYFUNCTION("""COMPUTED_VALUE"""),"14")</f>
        <v>14</v>
      </c>
      <c r="G87" s="8">
        <f ca="1">IFERROR(__xludf.DUMMYFUNCTION("""COMPUTED_VALUE"""),75273)</f>
        <v>75273</v>
      </c>
      <c r="H87" s="8" t="str">
        <f ca="1">IFERROR(__xludf.DUMMYFUNCTION("""COMPUTED_VALUE"""),"?/y Epoxy")</f>
        <v>?/y Epoxy</v>
      </c>
      <c r="I87" s="8" t="str">
        <f ca="1">IFERROR(__xludf.DUMMYFUNCTION("""COMPUTED_VALUE"""),"3 x 2000")</f>
        <v>3 x 2000</v>
      </c>
      <c r="J87" s="8" t="str">
        <f ca="1">IFERROR(__xludf.DUMMYFUNCTION("""COMPUTED_VALUE"""),"MAN-B&amp;W")</f>
        <v>MAN-B&amp;W</v>
      </c>
      <c r="K87" s="8" t="str">
        <f ca="1">IFERROR(__xludf.DUMMYFUNCTION("""COMPUTED_VALUE"""),"-")</f>
        <v>-</v>
      </c>
      <c r="L87" s="8" t="str">
        <f ca="1">IFERROR(__xludf.DUMMYFUNCTION("""COMPUTED_VALUE"""),"To be chkd")</f>
        <v>To be chkd</v>
      </c>
      <c r="M87" s="8" t="str">
        <f ca="1">IFERROR(__xludf.DUMMYFUNCTION("""COMPUTED_VALUE"""),"LR 4/24P")</f>
        <v>LR 4/24P</v>
      </c>
      <c r="N87" s="8" t="str">
        <f ca="1">IFERROR(__xludf.DUMMYFUNCTION("""COMPUTED_VALUE"""),"WCI")</f>
        <v>WCI</v>
      </c>
      <c r="O87" s="8" t="str">
        <f ca="1">IFERROR(__xludf.DUMMYFUNCTION("""COMPUTED_VALUE"""),"13.5-13.2 m")</f>
        <v>13.5-13.2 m</v>
      </c>
    </row>
    <row r="88" spans="1:15" ht="15.75" customHeight="1" x14ac:dyDescent="0.25">
      <c r="A88" s="8" t="str">
        <f ca="1">IFERROR(__xludf.DUMMYFUNCTION("""COMPUTED_VALUE"""),"TA 69714/04")</f>
        <v>TA 69714/04</v>
      </c>
      <c r="B88" s="8" t="str">
        <f ca="1">IFERROR(__xludf.DUMMYFUNCTION("""COMPUTED_VALUE"""),"Panamax LR1 Tanker")</f>
        <v>Panamax LR1 Tanker</v>
      </c>
      <c r="C88" s="9">
        <f ca="1">IFERROR(__xludf.DUMMYFUNCTION("""COMPUTED_VALUE"""),69714)</f>
        <v>69714</v>
      </c>
      <c r="D88" s="8" t="str">
        <f ca="1">IFERROR(__xludf.DUMMYFUNCTION("""COMPUTED_VALUE"""),"2004-Korea")</f>
        <v>2004-Korea</v>
      </c>
      <c r="E88" s="8" t="str">
        <f ca="1">IFERROR(__xludf.DUMMYFUNCTION("""COMPUTED_VALUE"""),"228.0 x 32.2")</f>
        <v>228.0 x 32.2</v>
      </c>
      <c r="F88" s="8" t="str">
        <f ca="1">IFERROR(__xludf.DUMMYFUNCTION("""COMPUTED_VALUE"""),"12")</f>
        <v>12</v>
      </c>
      <c r="G88" s="8">
        <f ca="1">IFERROR(__xludf.DUMMYFUNCTION("""COMPUTED_VALUE"""),76492)</f>
        <v>76492</v>
      </c>
      <c r="H88" s="8" t="str">
        <f ca="1">IFERROR(__xludf.DUMMYFUNCTION("""COMPUTED_VALUE"""),"?/?")</f>
        <v>?/?</v>
      </c>
      <c r="I88" s="8" t="str">
        <f ca="1">IFERROR(__xludf.DUMMYFUNCTION("""COMPUTED_VALUE"""),"12 x 900 Deepw.")</f>
        <v>12 x 900 Deepw.</v>
      </c>
      <c r="J88" s="8" t="str">
        <f ca="1">IFERROR(__xludf.DUMMYFUNCTION("""COMPUTED_VALUE"""),"MAN-B&amp;W")</f>
        <v>MAN-B&amp;W</v>
      </c>
      <c r="K88" s="8" t="str">
        <f ca="1">IFERROR(__xludf.DUMMYFUNCTION("""COMPUTED_VALUE"""),"-")</f>
        <v>-</v>
      </c>
      <c r="L88" s="8" t="str">
        <f ca="1">IFERROR(__xludf.DUMMYFUNCTION("""COMPUTED_VALUE"""),"Fitted")</f>
        <v>Fitted</v>
      </c>
      <c r="M88" s="8" t="str">
        <f ca="1">IFERROR(__xludf.DUMMYFUNCTION("""COMPUTED_VALUE"""),"RI 5/28D")</f>
        <v>RI 5/28D</v>
      </c>
      <c r="N88" s="8" t="str">
        <f ca="1">IFERROR(__xludf.DUMMYFUNCTION("""COMPUTED_VALUE"""),"India")</f>
        <v>India</v>
      </c>
      <c r="O88" s="8" t="str">
        <f ca="1">IFERROR(__xludf.DUMMYFUNCTION("""COMPUTED_VALUE"""),"14-13.5 m")</f>
        <v>14-13.5 m</v>
      </c>
    </row>
    <row r="89" spans="1:15" ht="15.75" customHeight="1" x14ac:dyDescent="0.25">
      <c r="A89" s="8" t="str">
        <f ca="1">IFERROR(__xludf.DUMMYFUNCTION("""COMPUTED_VALUE"""),"TA 63605/08")</f>
        <v>TA 63605/08</v>
      </c>
      <c r="B89" s="8" t="str">
        <f ca="1">IFERROR(__xludf.DUMMYFUNCTION("""COMPUTED_VALUE"""),"Panamax LR1 Tanker")</f>
        <v>Panamax LR1 Tanker</v>
      </c>
      <c r="C89" s="9">
        <f ca="1">IFERROR(__xludf.DUMMYFUNCTION("""COMPUTED_VALUE"""),63605)</f>
        <v>63605</v>
      </c>
      <c r="D89" s="8" t="str">
        <f ca="1">IFERROR(__xludf.DUMMYFUNCTION("""COMPUTED_VALUE"""),"2008-Korea")</f>
        <v>2008-Korea</v>
      </c>
      <c r="E89" s="8" t="str">
        <f ca="1">IFERROR(__xludf.DUMMYFUNCTION("""COMPUTED_VALUE"""),"228.0 x 32.2")</f>
        <v>228.0 x 32.2</v>
      </c>
      <c r="F89" s="8" t="str">
        <f ca="1">IFERROR(__xludf.DUMMYFUNCTION("""COMPUTED_VALUE"""),"14")</f>
        <v>14</v>
      </c>
      <c r="G89" s="8">
        <f ca="1">IFERROR(__xludf.DUMMYFUNCTION("""COMPUTED_VALUE"""),71502)</f>
        <v>71502</v>
      </c>
      <c r="H89" s="8" t="str">
        <f ca="1">IFERROR(__xludf.DUMMYFUNCTION("""COMPUTED_VALUE"""),"N/Y Epoxy")</f>
        <v>N/Y Epoxy</v>
      </c>
      <c r="I89" s="8" t="str">
        <f ca="1">IFERROR(__xludf.DUMMYFUNCTION("""COMPUTED_VALUE"""),"12 x 750")</f>
        <v>12 x 750</v>
      </c>
      <c r="J89" s="8" t="str">
        <f ca="1">IFERROR(__xludf.DUMMYFUNCTION("""COMPUTED_VALUE"""),"MAN-B&amp;W")</f>
        <v>MAN-B&amp;W</v>
      </c>
      <c r="K89" s="8" t="str">
        <f ca="1">IFERROR(__xludf.DUMMYFUNCTION("""COMPUTED_VALUE"""),"15.0 k/50 t IFO")</f>
        <v>15.0 k/50 t IFO</v>
      </c>
      <c r="L89" s="8" t="str">
        <f ca="1">IFERROR(__xludf.DUMMYFUNCTION("""COMPUTED_VALUE"""),"To be chkd")</f>
        <v>To be chkd</v>
      </c>
      <c r="M89" s="8" t="str">
        <f ca="1">IFERROR(__xludf.DUMMYFUNCTION("""COMPUTED_VALUE"""),"LR 4/28D")</f>
        <v>LR 4/28D</v>
      </c>
      <c r="N89" s="8" t="str">
        <f ca="1">IFERROR(__xludf.DUMMYFUNCTION("""COMPUTED_VALUE"""),"China in DD")</f>
        <v>China in DD</v>
      </c>
      <c r="O89" s="8" t="str">
        <f ca="1">IFERROR(__xludf.DUMMYFUNCTION("""COMPUTED_VALUE"""),"20-19.0 m")</f>
        <v>20-19.0 m</v>
      </c>
    </row>
    <row r="90" spans="1:15" ht="15.75" customHeight="1" x14ac:dyDescent="0.25">
      <c r="A90" s="8" t="str">
        <f ca="1">IFERROR(__xludf.DUMMYFUNCTION("""COMPUTED_VALUE"""),"TA 53712/06")</f>
        <v>TA 53712/06</v>
      </c>
      <c r="B90" s="8" t="str">
        <f ca="1">IFERROR(__xludf.DUMMYFUNCTION("""COMPUTED_VALUE"""),"MR2 CPP Products Tanker")</f>
        <v>MR2 CPP Products Tanker</v>
      </c>
      <c r="C90" s="9">
        <f ca="1">IFERROR(__xludf.DUMMYFUNCTION("""COMPUTED_VALUE"""),53712)</f>
        <v>53712</v>
      </c>
      <c r="D90" s="8" t="str">
        <f ca="1">IFERROR(__xludf.DUMMYFUNCTION("""COMPUTED_VALUE"""),"2006-Japan")</f>
        <v>2006-Japan</v>
      </c>
      <c r="E90" s="8" t="str">
        <f ca="1">IFERROR(__xludf.DUMMYFUNCTION("""COMPUTED_VALUE"""),"185.9 x 32.20")</f>
        <v>185.9 x 32.20</v>
      </c>
      <c r="F90" s="8" t="str">
        <f ca="1">IFERROR(__xludf.DUMMYFUNCTION("""COMPUTED_VALUE"""),"12")</f>
        <v>12</v>
      </c>
      <c r="G90" s="8">
        <f ca="1">IFERROR(__xludf.DUMMYFUNCTION("""COMPUTED_VALUE"""),56764)</f>
        <v>56764</v>
      </c>
      <c r="H90" s="8" t="str">
        <f ca="1">IFERROR(__xludf.DUMMYFUNCTION("""COMPUTED_VALUE"""),"Y/Y Epoxy")</f>
        <v>Y/Y Epoxy</v>
      </c>
      <c r="I90" s="8" t="str">
        <f ca="1">IFERROR(__xludf.DUMMYFUNCTION("""COMPUTED_VALUE"""),"4 x 1000")</f>
        <v>4 x 1000</v>
      </c>
      <c r="J90" s="8" t="str">
        <f ca="1">IFERROR(__xludf.DUMMYFUNCTION("""COMPUTED_VALUE"""),"Mitsubishi")</f>
        <v>Mitsubishi</v>
      </c>
      <c r="K90" s="8" t="str">
        <f ca="1">IFERROR(__xludf.DUMMYFUNCTION("""COMPUTED_VALUE"""),"-")</f>
        <v>-</v>
      </c>
      <c r="L90" s="8" t="str">
        <f ca="1">IFERROR(__xludf.DUMMYFUNCTION("""COMPUTED_VALUE"""),"Fitted")</f>
        <v>Fitted</v>
      </c>
      <c r="M90" s="8" t="str">
        <f ca="1">IFERROR(__xludf.DUMMYFUNCTION("""COMPUTED_VALUE"""),"NK 2.26D")</f>
        <v>NK 2.26D</v>
      </c>
      <c r="N90" s="8" t="str">
        <f ca="1">IFERROR(__xludf.DUMMYFUNCTION("""COMPUTED_VALUE"""),"Las Palmas")</f>
        <v>Las Palmas</v>
      </c>
      <c r="O90" s="8" t="str">
        <f ca="1">IFERROR(__xludf.DUMMYFUNCTION("""COMPUTED_VALUE"""),"15-14.2m")</f>
        <v>15-14.2m</v>
      </c>
    </row>
    <row r="91" spans="1:15" ht="15.75" customHeight="1" x14ac:dyDescent="0.25">
      <c r="A91" s="8" t="str">
        <f ca="1">IFERROR(__xludf.DUMMYFUNCTION("""COMPUTED_VALUE"""),"TA 51833/13")</f>
        <v>TA 51833/13</v>
      </c>
      <c r="B91" s="8" t="str">
        <f ca="1">IFERROR(__xludf.DUMMYFUNCTION("""COMPUTED_VALUE"""),"MR2 CPP/Oil/Chemical Tk")</f>
        <v>MR2 CPP/Oil/Chemical Tk</v>
      </c>
      <c r="C91" s="9">
        <f ca="1">IFERROR(__xludf.DUMMYFUNCTION("""COMPUTED_VALUE"""),51833)</f>
        <v>51833</v>
      </c>
      <c r="D91" s="8" t="str">
        <f ca="1">IFERROR(__xludf.DUMMYFUNCTION("""COMPUTED_VALUE"""),"2013-Korea")</f>
        <v>2013-Korea</v>
      </c>
      <c r="E91" s="8" t="str">
        <f ca="1">IFERROR(__xludf.DUMMYFUNCTION("""COMPUTED_VALUE"""),"183.0 x 32.20")</f>
        <v>183.0 x 32.20</v>
      </c>
      <c r="F91" s="8" t="str">
        <f ca="1">IFERROR(__xludf.DUMMYFUNCTION("""COMPUTED_VALUE"""),"14")</f>
        <v>14</v>
      </c>
      <c r="G91" s="8">
        <f ca="1">IFERROR(__xludf.DUMMYFUNCTION("""COMPUTED_VALUE"""),52516)</f>
        <v>52516</v>
      </c>
      <c r="H91" s="8" t="str">
        <f ca="1">IFERROR(__xludf.DUMMYFUNCTION("""COMPUTED_VALUE"""),"N/Y Epoxy")</f>
        <v>N/Y Epoxy</v>
      </c>
      <c r="I91" s="8" t="str">
        <f ca="1">IFERROR(__xludf.DUMMYFUNCTION("""COMPUTED_VALUE"""),"12 x 600")</f>
        <v>12 x 600</v>
      </c>
      <c r="J91" s="8" t="str">
        <f ca="1">IFERROR(__xludf.DUMMYFUNCTION("""COMPUTED_VALUE"""),"MAN-B&amp;W")</f>
        <v>MAN-B&amp;W</v>
      </c>
      <c r="K91" s="8" t="str">
        <f ca="1">IFERROR(__xludf.DUMMYFUNCTION("""COMPUTED_VALUE"""),"13.5k/25t FO")</f>
        <v>13.5k/25t FO</v>
      </c>
      <c r="L91" s="8" t="str">
        <f ca="1">IFERROR(__xludf.DUMMYFUNCTION("""COMPUTED_VALUE"""),"Fitted")</f>
        <v>Fitted</v>
      </c>
      <c r="M91" s="8" t="str">
        <f ca="1">IFERROR(__xludf.DUMMYFUNCTION("""COMPUTED_VALUE"""),"AB 6/28D")</f>
        <v>AB 6/28D</v>
      </c>
      <c r="N91" s="8" t="str">
        <f ca="1">IFERROR(__xludf.DUMMYFUNCTION("""COMPUTED_VALUE"""),"Singapore")</f>
        <v>Singapore</v>
      </c>
      <c r="O91" s="8" t="str">
        <f ca="1">IFERROR(__xludf.DUMMYFUNCTION("""COMPUTED_VALUE"""),"30.0 m")</f>
        <v>30.0 m</v>
      </c>
    </row>
    <row r="92" spans="1:15" ht="15.75" customHeight="1" x14ac:dyDescent="0.25">
      <c r="A92" s="8" t="str">
        <f ca="1">IFERROR(__xludf.DUMMYFUNCTION("""COMPUTED_VALUE"""),"TA 51371/06")</f>
        <v>TA 51371/06</v>
      </c>
      <c r="B92" s="8" t="str">
        <f ca="1">IFERROR(__xludf.DUMMYFUNCTION("""COMPUTED_VALUE"""),"MR2 CPP Products Tanker")</f>
        <v>MR2 CPP Products Tanker</v>
      </c>
      <c r="C92" s="9">
        <f ca="1">IFERROR(__xludf.DUMMYFUNCTION("""COMPUTED_VALUE"""),51371)</f>
        <v>51371</v>
      </c>
      <c r="D92" s="8" t="str">
        <f ca="1">IFERROR(__xludf.DUMMYFUNCTION("""COMPUTED_VALUE"""),"2006-Korea")</f>
        <v>2006-Korea</v>
      </c>
      <c r="E92" s="8" t="str">
        <f ca="1">IFERROR(__xludf.DUMMYFUNCTION("""COMPUTED_VALUE"""),"182.9 X32.20")</f>
        <v>182.9 X32.20</v>
      </c>
      <c r="F92" s="8" t="str">
        <f ca="1">IFERROR(__xludf.DUMMYFUNCTION("""COMPUTED_VALUE"""),"15")</f>
        <v>15</v>
      </c>
      <c r="G92" s="8">
        <f ca="1">IFERROR(__xludf.DUMMYFUNCTION("""COMPUTED_VALUE"""),51869)</f>
        <v>51869</v>
      </c>
      <c r="H92" s="8" t="str">
        <f ca="1">IFERROR(__xludf.DUMMYFUNCTION("""COMPUTED_VALUE"""),"Y/Y Phenolic Ep")</f>
        <v>Y/Y Phenolic Ep</v>
      </c>
      <c r="I92" s="8" t="str">
        <f ca="1">IFERROR(__xludf.DUMMYFUNCTION("""COMPUTED_VALUE"""),"12 x 600")</f>
        <v>12 x 600</v>
      </c>
      <c r="J92" s="8" t="str">
        <f ca="1">IFERROR(__xludf.DUMMYFUNCTION("""COMPUTED_VALUE"""),"MAN-B&amp;W")</f>
        <v>MAN-B&amp;W</v>
      </c>
      <c r="K92" s="8" t="str">
        <f ca="1">IFERROR(__xludf.DUMMYFUNCTION("""COMPUTED_VALUE"""),"15 kn/43 t IFO")</f>
        <v>15 kn/43 t IFO</v>
      </c>
      <c r="L92" s="8" t="str">
        <f ca="1">IFERROR(__xludf.DUMMYFUNCTION("""COMPUTED_VALUE"""),"Fitted")</f>
        <v>Fitted</v>
      </c>
      <c r="M92" s="8" t="str">
        <f ca="1">IFERROR(__xludf.DUMMYFUNCTION("""COMPUTED_VALUE"""),"BV 6/26D")</f>
        <v>BV 6/26D</v>
      </c>
      <c r="N92" s="8" t="str">
        <f ca="1">IFERROR(__xludf.DUMMYFUNCTION("""COMPUTED_VALUE"""),"Cyprus")</f>
        <v>Cyprus</v>
      </c>
      <c r="O92" s="8" t="str">
        <f ca="1">IFERROR(__xludf.DUMMYFUNCTION("""COMPUTED_VALUE"""),"B.offers")</f>
        <v>B.offers</v>
      </c>
    </row>
    <row r="93" spans="1:15" ht="15.75" customHeight="1" x14ac:dyDescent="0.25">
      <c r="A93" s="8" t="str">
        <f ca="1">IFERROR(__xludf.DUMMYFUNCTION("""COMPUTED_VALUE"""),"TA 50922/07")</f>
        <v>TA 50922/07</v>
      </c>
      <c r="B93" s="8" t="str">
        <f ca="1">IFERROR(__xludf.DUMMYFUNCTION("""COMPUTED_VALUE"""),"MR2 Ice 1A Tanker")</f>
        <v>MR2 Ice 1A Tanker</v>
      </c>
      <c r="C93" s="9">
        <f ca="1">IFERROR(__xludf.DUMMYFUNCTION("""COMPUTED_VALUE"""),50922)</f>
        <v>50922</v>
      </c>
      <c r="D93" s="8" t="str">
        <f ca="1">IFERROR(__xludf.DUMMYFUNCTION("""COMPUTED_VALUE"""),"2007-Korea")</f>
        <v>2007-Korea</v>
      </c>
      <c r="E93" s="8" t="str">
        <f ca="1">IFERROR(__xludf.DUMMYFUNCTION("""COMPUTED_VALUE"""),"183.0 x 32.20")</f>
        <v>183.0 x 32.20</v>
      </c>
      <c r="F93" s="8" t="str">
        <f ca="1">IFERROR(__xludf.DUMMYFUNCTION("""COMPUTED_VALUE"""),"14")</f>
        <v>14</v>
      </c>
      <c r="G93" s="8">
        <f ca="1">IFERROR(__xludf.DUMMYFUNCTION("""COMPUTED_VALUE"""),51985)</f>
        <v>51985</v>
      </c>
      <c r="H93" s="8" t="str">
        <f ca="1">IFERROR(__xludf.DUMMYFUNCTION("""COMPUTED_VALUE"""),"Y/Y Epoxy")</f>
        <v>Y/Y Epoxy</v>
      </c>
      <c r="I93" s="8" t="str">
        <f ca="1">IFERROR(__xludf.DUMMYFUNCTION("""COMPUTED_VALUE"""),"12 x 600")</f>
        <v>12 x 600</v>
      </c>
      <c r="J93" s="8" t="str">
        <f ca="1">IFERROR(__xludf.DUMMYFUNCTION("""COMPUTED_VALUE"""),"MAN-B&amp;W")</f>
        <v>MAN-B&amp;W</v>
      </c>
      <c r="K93" s="8" t="str">
        <f ca="1">IFERROR(__xludf.DUMMYFUNCTION("""COMPUTED_VALUE"""),"-")</f>
        <v>-</v>
      </c>
      <c r="L93" s="8" t="str">
        <f ca="1">IFERROR(__xludf.DUMMYFUNCTION("""COMPUTED_VALUE"""),"To be chkd")</f>
        <v>To be chkd</v>
      </c>
      <c r="M93" s="8" t="str">
        <f ca="1">IFERROR(__xludf.DUMMYFUNCTION("""COMPUTED_VALUE"""),"RI 6/28D")</f>
        <v>RI 6/28D</v>
      </c>
      <c r="N93" s="8" t="str">
        <f ca="1">IFERROR(__xludf.DUMMYFUNCTION("""COMPUTED_VALUE"""),"Atlantic")</f>
        <v>Atlantic</v>
      </c>
      <c r="O93" s="8" t="str">
        <f ca="1">IFERROR(__xludf.DUMMYFUNCTION("""COMPUTED_VALUE"""),"B.offers")</f>
        <v>B.offers</v>
      </c>
    </row>
    <row r="94" spans="1:15" ht="15.75" customHeight="1" x14ac:dyDescent="0.25">
      <c r="A94" s="8" t="str">
        <f ca="1">IFERROR(__xludf.DUMMYFUNCTION("""COMPUTED_VALUE"""),"TA 50781/08")</f>
        <v>TA 50781/08</v>
      </c>
      <c r="B94" s="8" t="str">
        <f ca="1">IFERROR(__xludf.DUMMYFUNCTION("""COMPUTED_VALUE"""),"MR2 Oil/Chemical Tanker")</f>
        <v>MR2 Oil/Chemical Tanker</v>
      </c>
      <c r="C94" s="9">
        <f ca="1">IFERROR(__xludf.DUMMYFUNCTION("""COMPUTED_VALUE"""),50781)</f>
        <v>50781</v>
      </c>
      <c r="D94" s="8" t="str">
        <f ca="1">IFERROR(__xludf.DUMMYFUNCTION("""COMPUTED_VALUE"""),"2008-Korea")</f>
        <v>2008-Korea</v>
      </c>
      <c r="E94" s="8" t="str">
        <f ca="1">IFERROR(__xludf.DUMMYFUNCTION("""COMPUTED_VALUE"""),"183.1 x 32.20")</f>
        <v>183.1 x 32.20</v>
      </c>
      <c r="F94" s="8" t="str">
        <f ca="1">IFERROR(__xludf.DUMMYFUNCTION("""COMPUTED_VALUE"""),"14")</f>
        <v>14</v>
      </c>
      <c r="G94" s="8">
        <f ca="1">IFERROR(__xludf.DUMMYFUNCTION("""COMPUTED_VALUE"""),52129)</f>
        <v>52129</v>
      </c>
      <c r="H94" s="8" t="str">
        <f ca="1">IFERROR(__xludf.DUMMYFUNCTION("""COMPUTED_VALUE"""),"Y/Y Epoxy")</f>
        <v>Y/Y Epoxy</v>
      </c>
      <c r="I94" s="8" t="str">
        <f ca="1">IFERROR(__xludf.DUMMYFUNCTION("""COMPUTED_VALUE"""),"12 x 600")</f>
        <v>12 x 600</v>
      </c>
      <c r="J94" s="8" t="str">
        <f ca="1">IFERROR(__xludf.DUMMYFUNCTION("""COMPUTED_VALUE"""),"MAN-B&amp;W")</f>
        <v>MAN-B&amp;W</v>
      </c>
      <c r="K94" s="8" t="str">
        <f ca="1">IFERROR(__xludf.DUMMYFUNCTION("""COMPUTED_VALUE"""),"14.9K/32t FO")</f>
        <v>14.9K/32t FO</v>
      </c>
      <c r="L94" s="8" t="str">
        <f ca="1">IFERROR(__xludf.DUMMYFUNCTION("""COMPUTED_VALUE"""),"To be chkd")</f>
        <v>To be chkd</v>
      </c>
      <c r="M94" s="8" t="str">
        <f ca="1">IFERROR(__xludf.DUMMYFUNCTION("""COMPUTED_VALUE"""),"KR 7/26D")</f>
        <v>KR 7/26D</v>
      </c>
      <c r="N94" s="10" t="str">
        <f ca="1">IFERROR(__xludf.DUMMYFUNCTION("""COMPUTED_VALUE"""),"SE.Asia")</f>
        <v>SE.Asia</v>
      </c>
      <c r="O94" s="8" t="str">
        <f ca="1">IFERROR(__xludf.DUMMYFUNCTION("""COMPUTED_VALUE"""),"B.offers")</f>
        <v>B.offers</v>
      </c>
    </row>
    <row r="95" spans="1:15" ht="15.75" customHeight="1" x14ac:dyDescent="0.25">
      <c r="A95" s="8" t="str">
        <f ca="1">IFERROR(__xludf.DUMMYFUNCTION("""COMPUTED_VALUE"""),"TA 50760/08")</f>
        <v>TA 50760/08</v>
      </c>
      <c r="B95" s="8" t="str">
        <f ca="1">IFERROR(__xludf.DUMMYFUNCTION("""COMPUTED_VALUE"""),"MR2 Oil/Chemical Tanker")</f>
        <v>MR2 Oil/Chemical Tanker</v>
      </c>
      <c r="C95" s="9">
        <f ca="1">IFERROR(__xludf.DUMMYFUNCTION("""COMPUTED_VALUE"""),50760)</f>
        <v>50760</v>
      </c>
      <c r="D95" s="8" t="str">
        <f ca="1">IFERROR(__xludf.DUMMYFUNCTION("""COMPUTED_VALUE"""),"2008-Korea")</f>
        <v>2008-Korea</v>
      </c>
      <c r="E95" s="8" t="str">
        <f ca="1">IFERROR(__xludf.DUMMYFUNCTION("""COMPUTED_VALUE"""),"183.0 X 32.2")</f>
        <v>183.0 X 32.2</v>
      </c>
      <c r="F95" s="8" t="str">
        <f ca="1">IFERROR(__xludf.DUMMYFUNCTION("""COMPUTED_VALUE"""),"14")</f>
        <v>14</v>
      </c>
      <c r="G95" s="8">
        <f ca="1">IFERROR(__xludf.DUMMYFUNCTION("""COMPUTED_VALUE"""),52179)</f>
        <v>52179</v>
      </c>
      <c r="H95" s="8" t="str">
        <f ca="1">IFERROR(__xludf.DUMMYFUNCTION("""COMPUTED_VALUE"""),"Y/Y Epoxy")</f>
        <v>Y/Y Epoxy</v>
      </c>
      <c r="I95" s="8" t="str">
        <f ca="1">IFERROR(__xludf.DUMMYFUNCTION("""COMPUTED_VALUE"""),"12 x 600")</f>
        <v>12 x 600</v>
      </c>
      <c r="J95" s="8" t="str">
        <f ca="1">IFERROR(__xludf.DUMMYFUNCTION("""COMPUTED_VALUE"""),"MAN-B&amp;W")</f>
        <v>MAN-B&amp;W</v>
      </c>
      <c r="K95" s="8" t="str">
        <f ca="1">IFERROR(__xludf.DUMMYFUNCTION("""COMPUTED_VALUE"""),"-")</f>
        <v>-</v>
      </c>
      <c r="L95" s="8" t="str">
        <f ca="1">IFERROR(__xludf.DUMMYFUNCTION("""COMPUTED_VALUE"""),"To be chkd")</f>
        <v>To be chkd</v>
      </c>
      <c r="M95" s="8" t="str">
        <f ca="1">IFERROR(__xludf.DUMMYFUNCTION("""COMPUTED_VALUE"""),"BV 4/28D")</f>
        <v>BV 4/28D</v>
      </c>
      <c r="N95" s="8" t="str">
        <f ca="1">IFERROR(__xludf.DUMMYFUNCTION("""COMPUTED_VALUE"""),"China")</f>
        <v>China</v>
      </c>
      <c r="O95" s="8" t="str">
        <f ca="1">IFERROR(__xludf.DUMMYFUNCTION("""COMPUTED_VALUE"""),"B.offers")</f>
        <v>B.offers</v>
      </c>
    </row>
    <row r="96" spans="1:15" ht="15.75" customHeight="1" x14ac:dyDescent="0.25">
      <c r="A96" s="8" t="str">
        <f ca="1">IFERROR(__xludf.DUMMYFUNCTION("""COMPUTED_VALUE"""),"TA 50748/08")</f>
        <v>TA 50748/08</v>
      </c>
      <c r="B96" s="8" t="str">
        <f ca="1">IFERROR(__xludf.DUMMYFUNCTION("""COMPUTED_VALUE"""),"MR2 Oil/Chemical Tanker")</f>
        <v>MR2 Oil/Chemical Tanker</v>
      </c>
      <c r="C96" s="9">
        <f ca="1">IFERROR(__xludf.DUMMYFUNCTION("""COMPUTED_VALUE"""),50748)</f>
        <v>50748</v>
      </c>
      <c r="D96" s="8" t="str">
        <f ca="1">IFERROR(__xludf.DUMMYFUNCTION("""COMPUTED_VALUE"""),"2008-Korea")</f>
        <v>2008-Korea</v>
      </c>
      <c r="E96" s="8" t="str">
        <f ca="1">IFERROR(__xludf.DUMMYFUNCTION("""COMPUTED_VALUE"""),"183.0 x 32.20")</f>
        <v>183.0 x 32.20</v>
      </c>
      <c r="F96" s="8" t="str">
        <f ca="1">IFERROR(__xludf.DUMMYFUNCTION("""COMPUTED_VALUE"""),"15")</f>
        <v>15</v>
      </c>
      <c r="G96" s="8">
        <f ca="1">IFERROR(__xludf.DUMMYFUNCTION("""COMPUTED_VALUE"""),52129)</f>
        <v>52129</v>
      </c>
      <c r="H96" s="8" t="str">
        <f ca="1">IFERROR(__xludf.DUMMYFUNCTION("""COMPUTED_VALUE"""),"Y/Y Epoxy")</f>
        <v>Y/Y Epoxy</v>
      </c>
      <c r="I96" s="8" t="str">
        <f ca="1">IFERROR(__xludf.DUMMYFUNCTION("""COMPUTED_VALUE"""),"12 x 600 2x300 1x150")</f>
        <v>12 x 600 2x300 1x150</v>
      </c>
      <c r="J96" s="8" t="str">
        <f ca="1">IFERROR(__xludf.DUMMYFUNCTION("""COMPUTED_VALUE"""),"MAN-B&amp;W")</f>
        <v>MAN-B&amp;W</v>
      </c>
      <c r="K96" s="8" t="str">
        <f ca="1">IFERROR(__xludf.DUMMYFUNCTION("""COMPUTED_VALUE"""),"14.9 k")</f>
        <v>14.9 k</v>
      </c>
      <c r="L96" s="8" t="str">
        <f ca="1">IFERROR(__xludf.DUMMYFUNCTION("""COMPUTED_VALUE"""),"To be chkd")</f>
        <v>To be chkd</v>
      </c>
      <c r="M96" s="8" t="str">
        <f ca="1">IFERROR(__xludf.DUMMYFUNCTION("""COMPUTED_VALUE"""),"LR 5/28D")</f>
        <v>LR 5/28D</v>
      </c>
      <c r="N96" s="8" t="str">
        <f ca="1">IFERROR(__xludf.DUMMYFUNCTION("""COMPUTED_VALUE"""),"N.Brazil")</f>
        <v>N.Brazil</v>
      </c>
      <c r="O96" s="8" t="str">
        <f ca="1">IFERROR(__xludf.DUMMYFUNCTION("""COMPUTED_VALUE"""),"B.offers")</f>
        <v>B.offers</v>
      </c>
    </row>
    <row r="97" spans="1:15" ht="15.75" customHeight="1" x14ac:dyDescent="0.25">
      <c r="A97" s="8" t="str">
        <f ca="1">IFERROR(__xludf.DUMMYFUNCTION("""COMPUTED_VALUE"""),"TA 50591/08")</f>
        <v>TA 50591/08</v>
      </c>
      <c r="B97" s="8" t="str">
        <f ca="1">IFERROR(__xludf.DUMMYFUNCTION("""COMPUTED_VALUE"""),"MR2 Oil/Chemical Tanker")</f>
        <v>MR2 Oil/Chemical Tanker</v>
      </c>
      <c r="C97" s="9">
        <f ca="1">IFERROR(__xludf.DUMMYFUNCTION("""COMPUTED_VALUE"""),50591)</f>
        <v>50591</v>
      </c>
      <c r="D97" s="8" t="str">
        <f ca="1">IFERROR(__xludf.DUMMYFUNCTION("""COMPUTED_VALUE"""),"2008-Korea")</f>
        <v>2008-Korea</v>
      </c>
      <c r="E97" s="8" t="str">
        <f ca="1">IFERROR(__xludf.DUMMYFUNCTION("""COMPUTED_VALUE"""),"183.0 x 32.20")</f>
        <v>183.0 x 32.20</v>
      </c>
      <c r="F97" s="8" t="str">
        <f ca="1">IFERROR(__xludf.DUMMYFUNCTION("""COMPUTED_VALUE"""),"14")</f>
        <v>14</v>
      </c>
      <c r="G97" s="8">
        <f ca="1">IFERROR(__xludf.DUMMYFUNCTION("""COMPUTED_VALUE"""),52129)</f>
        <v>52129</v>
      </c>
      <c r="H97" s="8" t="str">
        <f ca="1">IFERROR(__xludf.DUMMYFUNCTION("""COMPUTED_VALUE"""),"N/Y Epoxy")</f>
        <v>N/Y Epoxy</v>
      </c>
      <c r="I97" s="8" t="str">
        <f ca="1">IFERROR(__xludf.DUMMYFUNCTION("""COMPUTED_VALUE"""),"12 x 600")</f>
        <v>12 x 600</v>
      </c>
      <c r="J97" s="8" t="str">
        <f ca="1">IFERROR(__xludf.DUMMYFUNCTION("""COMPUTED_VALUE"""),"MAN-B&amp;W")</f>
        <v>MAN-B&amp;W</v>
      </c>
      <c r="K97" s="8" t="str">
        <f ca="1">IFERROR(__xludf.DUMMYFUNCTION("""COMPUTED_VALUE"""),"14.9/32.6t FO")</f>
        <v>14.9/32.6t FO</v>
      </c>
      <c r="L97" s="8" t="str">
        <f ca="1">IFERROR(__xludf.DUMMYFUNCTION("""COMPUTED_VALUE"""),"To be chkd")</f>
        <v>To be chkd</v>
      </c>
      <c r="M97" s="8" t="str">
        <f ca="1">IFERROR(__xludf.DUMMYFUNCTION("""COMPUTED_VALUE"""),"KR 6/28D")</f>
        <v>KR 6/28D</v>
      </c>
      <c r="N97" s="10" t="str">
        <f ca="1">IFERROR(__xludf.DUMMYFUNCTION("""COMPUTED_VALUE"""),"SE.Asia")</f>
        <v>SE.Asia</v>
      </c>
      <c r="O97" s="8" t="str">
        <f ca="1">IFERROR(__xludf.DUMMYFUNCTION("""COMPUTED_VALUE"""),"B.offers")</f>
        <v>B.offers</v>
      </c>
    </row>
    <row r="98" spans="1:15" ht="15.75" customHeight="1" x14ac:dyDescent="0.25">
      <c r="A98" s="8" t="str">
        <f ca="1">IFERROR(__xludf.DUMMYFUNCTION("""COMPUTED_VALUE"""),"TA 50530/07")</f>
        <v>TA 50530/07</v>
      </c>
      <c r="B98" s="8" t="str">
        <f ca="1">IFERROR(__xludf.DUMMYFUNCTION("""COMPUTED_VALUE"""),"MR2 Oil/Chemical Tanker")</f>
        <v>MR2 Oil/Chemical Tanker</v>
      </c>
      <c r="C98" s="9">
        <f ca="1">IFERROR(__xludf.DUMMYFUNCTION("""COMPUTED_VALUE"""),50530)</f>
        <v>50530</v>
      </c>
      <c r="D98" s="8" t="str">
        <f ca="1">IFERROR(__xludf.DUMMYFUNCTION("""COMPUTED_VALUE"""),"2007-Korea")</f>
        <v>2007-Korea</v>
      </c>
      <c r="E98" s="8" t="str">
        <f ca="1">IFERROR(__xludf.DUMMYFUNCTION("""COMPUTED_VALUE"""),"183.0 X 32.2")</f>
        <v>183.0 X 32.2</v>
      </c>
      <c r="F98" s="8" t="str">
        <f ca="1">IFERROR(__xludf.DUMMYFUNCTION("""COMPUTED_VALUE"""),"14")</f>
        <v>14</v>
      </c>
      <c r="G98" s="8">
        <f ca="1">IFERROR(__xludf.DUMMYFUNCTION("""COMPUTED_VALUE"""),52147)</f>
        <v>52147</v>
      </c>
      <c r="H98" s="8" t="str">
        <f ca="1">IFERROR(__xludf.DUMMYFUNCTION("""COMPUTED_VALUE"""),"Y/Y Epoxy Phen.")</f>
        <v>Y/Y Epoxy Phen.</v>
      </c>
      <c r="I98" s="8" t="str">
        <f ca="1">IFERROR(__xludf.DUMMYFUNCTION("""COMPUTED_VALUE"""),"12 x 600")</f>
        <v>12 x 600</v>
      </c>
      <c r="J98" s="8" t="str">
        <f ca="1">IFERROR(__xludf.DUMMYFUNCTION("""COMPUTED_VALUE"""),"Wartsila")</f>
        <v>Wartsila</v>
      </c>
      <c r="K98" s="8" t="str">
        <f ca="1">IFERROR(__xludf.DUMMYFUNCTION("""COMPUTED_VALUE"""),"14.9k/31t FO")</f>
        <v>14.9k/31t FO</v>
      </c>
      <c r="L98" s="8" t="str">
        <f ca="1">IFERROR(__xludf.DUMMYFUNCTION("""COMPUTED_VALUE"""),"To be chkd")</f>
        <v>To be chkd</v>
      </c>
      <c r="M98" s="8" t="str">
        <f ca="1">IFERROR(__xludf.DUMMYFUNCTION("""COMPUTED_VALUE"""),"AB 2/27D")</f>
        <v>AB 2/27D</v>
      </c>
      <c r="N98" s="8" t="str">
        <f ca="1">IFERROR(__xludf.DUMMYFUNCTION("""COMPUTED_VALUE"""),"Fareast")</f>
        <v>Fareast</v>
      </c>
      <c r="O98" s="8" t="str">
        <f ca="1">IFERROR(__xludf.DUMMYFUNCTION("""COMPUTED_VALUE"""),"B.offers")</f>
        <v>B.offers</v>
      </c>
    </row>
    <row r="99" spans="1:15" ht="15.75" customHeight="1" x14ac:dyDescent="0.25">
      <c r="A99" s="8" t="str">
        <f ca="1">IFERROR(__xludf.DUMMYFUNCTION("""COMPUTED_VALUE"""),"TA 50359/08")</f>
        <v>TA 50359/08</v>
      </c>
      <c r="B99" s="8" t="str">
        <f ca="1">IFERROR(__xludf.DUMMYFUNCTION("""COMPUTED_VALUE"""),"MR2 Oil/Chemical CPP Tanker")</f>
        <v>MR2 Oil/Chemical CPP Tanker</v>
      </c>
      <c r="C99" s="9">
        <f ca="1">IFERROR(__xludf.DUMMYFUNCTION("""COMPUTED_VALUE"""),50359)</f>
        <v>50359</v>
      </c>
      <c r="D99" s="8" t="str">
        <f ca="1">IFERROR(__xludf.DUMMYFUNCTION("""COMPUTED_VALUE"""),"2008-Korea")</f>
        <v>2008-Korea</v>
      </c>
      <c r="E99" s="8" t="str">
        <f ca="1">IFERROR(__xludf.DUMMYFUNCTION("""COMPUTED_VALUE"""),"189.0 x 32.2")</f>
        <v>189.0 x 32.2</v>
      </c>
      <c r="F99" s="8" t="str">
        <f ca="1">IFERROR(__xludf.DUMMYFUNCTION("""COMPUTED_VALUE"""),"11")</f>
        <v>11</v>
      </c>
      <c r="G99" s="8">
        <f ca="1">IFERROR(__xludf.DUMMYFUNCTION("""COMPUTED_VALUE"""),60450)</f>
        <v>60450</v>
      </c>
      <c r="H99" s="8" t="str">
        <f ca="1">IFERROR(__xludf.DUMMYFUNCTION("""COMPUTED_VALUE"""),"Y stst/Y Epoxy")</f>
        <v>Y stst/Y Epoxy</v>
      </c>
      <c r="I99" s="8" t="str">
        <f ca="1">IFERROR(__xludf.DUMMYFUNCTION("""COMPUTED_VALUE"""),"3 x 1700")</f>
        <v>3 x 1700</v>
      </c>
      <c r="J99" s="8" t="str">
        <f ca="1">IFERROR(__xludf.DUMMYFUNCTION("""COMPUTED_VALUE"""),"MAN-B&amp;W")</f>
        <v>MAN-B&amp;W</v>
      </c>
      <c r="K99" s="8" t="str">
        <f ca="1">IFERROR(__xludf.DUMMYFUNCTION("""COMPUTED_VALUE"""),"-")</f>
        <v>-</v>
      </c>
      <c r="L99" s="8" t="str">
        <f ca="1">IFERROR(__xludf.DUMMYFUNCTION("""COMPUTED_VALUE"""),"Fitted")</f>
        <v>Fitted</v>
      </c>
      <c r="M99" s="8" t="str">
        <f ca="1">IFERROR(__xludf.DUMMYFUNCTION("""COMPUTED_VALUE"""),"RI 1.28D")</f>
        <v>RI 1.28D</v>
      </c>
      <c r="N99" s="8" t="str">
        <f ca="1">IFERROR(__xludf.DUMMYFUNCTION("""COMPUTED_VALUE"""),"Las Palmas")</f>
        <v>Las Palmas</v>
      </c>
      <c r="O99" s="8" t="str">
        <f ca="1">IFERROR(__xludf.DUMMYFUNCTION("""COMPUTED_VALUE"""),"B.offers")</f>
        <v>B.offers</v>
      </c>
    </row>
    <row r="100" spans="1:15" ht="15.75" customHeight="1" x14ac:dyDescent="0.25">
      <c r="A100" s="8" t="str">
        <f ca="1">IFERROR(__xludf.DUMMYFUNCTION("""COMPUTED_VALUE"""),"TA 50242/08")</f>
        <v>TA 50242/08</v>
      </c>
      <c r="B100" s="8" t="str">
        <f ca="1">IFERROR(__xludf.DUMMYFUNCTION("""COMPUTED_VALUE"""),"MR2 Oil/Chemical Tanker")</f>
        <v>MR2 Oil/Chemical Tanker</v>
      </c>
      <c r="C100" s="9">
        <f ca="1">IFERROR(__xludf.DUMMYFUNCTION("""COMPUTED_VALUE"""),50242)</f>
        <v>50242</v>
      </c>
      <c r="D100" s="8" t="str">
        <f ca="1">IFERROR(__xludf.DUMMYFUNCTION("""COMPUTED_VALUE"""),"2008-Korea")</f>
        <v>2008-Korea</v>
      </c>
      <c r="E100" s="8" t="str">
        <f ca="1">IFERROR(__xludf.DUMMYFUNCTION("""COMPUTED_VALUE"""),"183.0 X 32.20")</f>
        <v>183.0 X 32.20</v>
      </c>
      <c r="F100" s="8" t="str">
        <f ca="1">IFERROR(__xludf.DUMMYFUNCTION("""COMPUTED_VALUE"""),"14")</f>
        <v>14</v>
      </c>
      <c r="G100" s="8">
        <f ca="1">IFERROR(__xludf.DUMMYFUNCTION("""COMPUTED_VALUE"""),52103)</f>
        <v>52103</v>
      </c>
      <c r="H100" s="8" t="str">
        <f ca="1">IFERROR(__xludf.DUMMYFUNCTION("""COMPUTED_VALUE"""),"Y/Y Epoxy")</f>
        <v>Y/Y Epoxy</v>
      </c>
      <c r="I100" s="8" t="str">
        <f ca="1">IFERROR(__xludf.DUMMYFUNCTION("""COMPUTED_VALUE"""),"12 x 600 ")</f>
        <v xml:space="preserve">12 x 600 </v>
      </c>
      <c r="J100" s="8" t="str">
        <f ca="1">IFERROR(__xludf.DUMMYFUNCTION("""COMPUTED_VALUE"""),"MAN-B&amp;W")</f>
        <v>MAN-B&amp;W</v>
      </c>
      <c r="K100" s="8" t="str">
        <f ca="1">IFERROR(__xludf.DUMMYFUNCTION("""COMPUTED_VALUE"""),"-")</f>
        <v>-</v>
      </c>
      <c r="L100" s="8" t="str">
        <f ca="1">IFERROR(__xludf.DUMMYFUNCTION("""COMPUTED_VALUE"""),"To be chkd")</f>
        <v>To be chkd</v>
      </c>
      <c r="M100" s="8" t="str">
        <f ca="1">IFERROR(__xludf.DUMMYFUNCTION("""COMPUTED_VALUE"""),"CCS 12/28D")</f>
        <v>CCS 12/28D</v>
      </c>
      <c r="N100" s="8" t="str">
        <f ca="1">IFERROR(__xludf.DUMMYFUNCTION("""COMPUTED_VALUE"""),"Brazil")</f>
        <v>Brazil</v>
      </c>
      <c r="O100" s="8" t="str">
        <f ca="1">IFERROR(__xludf.DUMMYFUNCTION("""COMPUTED_VALUE"""),"B.offers")</f>
        <v>B.offers</v>
      </c>
    </row>
    <row r="101" spans="1:15" ht="15.75" customHeight="1" x14ac:dyDescent="0.25">
      <c r="A101" s="8" t="str">
        <f ca="1">IFERROR(__xludf.DUMMYFUNCTION("""COMPUTED_VALUE"""),"TA 50083/10")</f>
        <v>TA 50083/10</v>
      </c>
      <c r="B101" s="8" t="str">
        <f ca="1">IFERROR(__xludf.DUMMYFUNCTION("""COMPUTED_VALUE"""),"MR2 CPP Products Tanker")</f>
        <v>MR2 CPP Products Tanker</v>
      </c>
      <c r="C101" s="9">
        <f ca="1">IFERROR(__xludf.DUMMYFUNCTION("""COMPUTED_VALUE"""),50083)</f>
        <v>50083</v>
      </c>
      <c r="D101" s="8" t="str">
        <f ca="1">IFERROR(__xludf.DUMMYFUNCTION("""COMPUTED_VALUE"""),"2010-Japan")</f>
        <v>2010-Japan</v>
      </c>
      <c r="E101" s="8" t="str">
        <f ca="1">IFERROR(__xludf.DUMMYFUNCTION("""COMPUTED_VALUE"""),"182.5 x 32.20")</f>
        <v>182.5 x 32.20</v>
      </c>
      <c r="F101" s="8" t="str">
        <f ca="1">IFERROR(__xludf.DUMMYFUNCTION("""COMPUTED_VALUE"""),"12")</f>
        <v>12</v>
      </c>
      <c r="G101" s="8">
        <f ca="1">IFERROR(__xludf.DUMMYFUNCTION("""COMPUTED_VALUE"""),53188)</f>
        <v>53188</v>
      </c>
      <c r="H101" s="8" t="str">
        <f ca="1">IFERROR(__xludf.DUMMYFUNCTION("""COMPUTED_VALUE"""),"Y stst/ Y Epoxy")</f>
        <v>Y stst/ Y Epoxy</v>
      </c>
      <c r="I101" s="8" t="str">
        <f ca="1">IFERROR(__xludf.DUMMYFUNCTION("""COMPUTED_VALUE"""),"4 x 1000")</f>
        <v>4 x 1000</v>
      </c>
      <c r="J101" s="8" t="str">
        <f ca="1">IFERROR(__xludf.DUMMYFUNCTION("""COMPUTED_VALUE"""),"MAN-B&amp;W")</f>
        <v>MAN-B&amp;W</v>
      </c>
      <c r="K101" s="8" t="str">
        <f ca="1">IFERROR(__xludf.DUMMYFUNCTION("""COMPUTED_VALUE"""),"-")</f>
        <v>-</v>
      </c>
      <c r="L101" s="8" t="str">
        <f ca="1">IFERROR(__xludf.DUMMYFUNCTION("""COMPUTED_VALUE"""),"Fitted")</f>
        <v>Fitted</v>
      </c>
      <c r="M101" s="8" t="str">
        <f ca="1">IFERROR(__xludf.DUMMYFUNCTION("""COMPUTED_VALUE"""),"NK 9/25D")</f>
        <v>NK 9/25D</v>
      </c>
      <c r="N101" s="8" t="str">
        <f ca="1">IFERROR(__xludf.DUMMYFUNCTION("""COMPUTED_VALUE"""),"China")</f>
        <v>China</v>
      </c>
      <c r="O101" s="8" t="str">
        <f ca="1">IFERROR(__xludf.DUMMYFUNCTION("""COMPUTED_VALUE"""),"B.offers")</f>
        <v>B.offers</v>
      </c>
    </row>
    <row r="102" spans="1:15" ht="15.75" customHeight="1" x14ac:dyDescent="0.25">
      <c r="A102" s="8" t="str">
        <f ca="1">IFERROR(__xludf.DUMMYFUNCTION("""COMPUTED_VALUE"""),"TA 50000/10")</f>
        <v>TA 50000/10</v>
      </c>
      <c r="B102" s="8" t="str">
        <f ca="1">IFERROR(__xludf.DUMMYFUNCTION("""COMPUTED_VALUE"""),"MR2 Oil/Chemical Tanker")</f>
        <v>MR2 Oil/Chemical Tanker</v>
      </c>
      <c r="C102" s="9">
        <f ca="1">IFERROR(__xludf.DUMMYFUNCTION("""COMPUTED_VALUE"""),50000)</f>
        <v>50000</v>
      </c>
      <c r="D102" s="8" t="str">
        <f ca="1">IFERROR(__xludf.DUMMYFUNCTION("""COMPUTED_VALUE"""),"2010-Japan")</f>
        <v>2010-Japan</v>
      </c>
      <c r="E102" s="8" t="str">
        <f ca="1">IFERROR(__xludf.DUMMYFUNCTION("""COMPUTED_VALUE"""),"182.0 x 32.2")</f>
        <v>182.0 x 32.2</v>
      </c>
      <c r="F102" s="8" t="str">
        <f ca="1">IFERROR(__xludf.DUMMYFUNCTION("""COMPUTED_VALUE"""),"12")</f>
        <v>12</v>
      </c>
      <c r="G102" s="8">
        <f ca="1">IFERROR(__xludf.DUMMYFUNCTION("""COMPUTED_VALUE"""),52111)</f>
        <v>52111</v>
      </c>
      <c r="H102" s="8" t="str">
        <f ca="1">IFERROR(__xludf.DUMMYFUNCTION("""COMPUTED_VALUE"""),"Y Stst /?")</f>
        <v>Y Stst /?</v>
      </c>
      <c r="I102" s="8" t="str">
        <f ca="1">IFERROR(__xludf.DUMMYFUNCTION("""COMPUTED_VALUE"""),"4 x 1000")</f>
        <v>4 x 1000</v>
      </c>
      <c r="J102" s="8" t="str">
        <f ca="1">IFERROR(__xludf.DUMMYFUNCTION("""COMPUTED_VALUE"""),"MAN-B&amp;W")</f>
        <v>MAN-B&amp;W</v>
      </c>
      <c r="K102" s="8" t="str">
        <f ca="1">IFERROR(__xludf.DUMMYFUNCTION("""COMPUTED_VALUE"""),"-")</f>
        <v>-</v>
      </c>
      <c r="L102" s="8" t="str">
        <f ca="1">IFERROR(__xludf.DUMMYFUNCTION("""COMPUTED_VALUE"""),"To be chkd")</f>
        <v>To be chkd</v>
      </c>
      <c r="M102" s="8" t="str">
        <f ca="1">IFERROR(__xludf.DUMMYFUNCTION("""COMPUTED_VALUE"""),"AB 7/25D")</f>
        <v>AB 7/25D</v>
      </c>
      <c r="N102" s="8" t="str">
        <f ca="1">IFERROR(__xludf.DUMMYFUNCTION("""COMPUTED_VALUE"""),"Withdrawn")</f>
        <v>Withdrawn</v>
      </c>
      <c r="O102" s="8" t="str">
        <f ca="1">IFERROR(__xludf.DUMMYFUNCTION("""COMPUTED_VALUE"""),"Withdrawn")</f>
        <v>Withdrawn</v>
      </c>
    </row>
    <row r="103" spans="1:15" ht="15.75" customHeight="1" x14ac:dyDescent="0.25">
      <c r="A103" s="8" t="str">
        <f ca="1">IFERROR(__xludf.DUMMYFUNCTION("""COMPUTED_VALUE"""),"TA 49999/07A")</f>
        <v>TA 49999/07A</v>
      </c>
      <c r="B103" s="8" t="str">
        <f ca="1">IFERROR(__xludf.DUMMYFUNCTION("""COMPUTED_VALUE"""),"MR2 Oil/Chem/Imo 2+3")</f>
        <v>MR2 Oil/Chem/Imo 2+3</v>
      </c>
      <c r="C103" s="9">
        <f ca="1">IFERROR(__xludf.DUMMYFUNCTION("""COMPUTED_VALUE"""),49999)</f>
        <v>49999</v>
      </c>
      <c r="D103" s="8" t="str">
        <f ca="1">IFERROR(__xludf.DUMMYFUNCTION("""COMPUTED_VALUE"""),"2007-Japan")</f>
        <v>2007-Japan</v>
      </c>
      <c r="E103" s="8" t="str">
        <f ca="1">IFERROR(__xludf.DUMMYFUNCTION("""COMPUTED_VALUE"""),"183.0 x 32.2 ")</f>
        <v xml:space="preserve">183.0 x 32.2 </v>
      </c>
      <c r="F103" s="8" t="str">
        <f ca="1">IFERROR(__xludf.DUMMYFUNCTION("""COMPUTED_VALUE"""),"12")</f>
        <v>12</v>
      </c>
      <c r="G103" s="8">
        <f ca="1">IFERROR(__xludf.DUMMYFUNCTION("""COMPUTED_VALUE"""),52969)</f>
        <v>52969</v>
      </c>
      <c r="H103" s="8" t="str">
        <f ca="1">IFERROR(__xludf.DUMMYFUNCTION("""COMPUTED_VALUE"""),"?/Y Epoxy")</f>
        <v>?/Y Epoxy</v>
      </c>
      <c r="I103" s="8" t="str">
        <f ca="1">IFERROR(__xludf.DUMMYFUNCTION("""COMPUTED_VALUE"""),"12 x 600  ")</f>
        <v xml:space="preserve">12 x 600  </v>
      </c>
      <c r="J103" s="8" t="str">
        <f ca="1">IFERROR(__xludf.DUMMYFUNCTION("""COMPUTED_VALUE"""),"MAN-B&amp;W")</f>
        <v>MAN-B&amp;W</v>
      </c>
      <c r="K103" s="8" t="str">
        <f ca="1">IFERROR(__xludf.DUMMYFUNCTION("""COMPUTED_VALUE"""),"-")</f>
        <v>-</v>
      </c>
      <c r="L103" s="8" t="str">
        <f ca="1">IFERROR(__xludf.DUMMYFUNCTION("""COMPUTED_VALUE"""),"Fitted")</f>
        <v>Fitted</v>
      </c>
      <c r="M103" s="8" t="str">
        <f ca="1">IFERROR(__xludf.DUMMYFUNCTION("""COMPUTED_VALUE"""),"AB 11.27D")</f>
        <v>AB 11.27D</v>
      </c>
      <c r="N103" s="8" t="str">
        <f ca="1">IFERROR(__xludf.DUMMYFUNCTION("""COMPUTED_VALUE"""),"Las Palmas")</f>
        <v>Las Palmas</v>
      </c>
      <c r="O103" s="8" t="str">
        <f ca="1">IFERROR(__xludf.DUMMYFUNCTION("""COMPUTED_VALUE"""),"B.offers")</f>
        <v>B.offers</v>
      </c>
    </row>
    <row r="104" spans="1:15" ht="15.75" customHeight="1" x14ac:dyDescent="0.25">
      <c r="A104" s="8" t="str">
        <f ca="1">IFERROR(__xludf.DUMMYFUNCTION("""COMPUTED_VALUE"""),"TA 49999/07B")</f>
        <v>TA 49999/07B</v>
      </c>
      <c r="B104" s="8" t="str">
        <f ca="1">IFERROR(__xludf.DUMMYFUNCTION("""COMPUTED_VALUE"""),"MR2 Oil/Chem/Imo 2+3")</f>
        <v>MR2 Oil/Chem/Imo 2+3</v>
      </c>
      <c r="C104" s="9">
        <f ca="1">IFERROR(__xludf.DUMMYFUNCTION("""COMPUTED_VALUE"""),49999)</f>
        <v>49999</v>
      </c>
      <c r="D104" s="8" t="str">
        <f ca="1">IFERROR(__xludf.DUMMYFUNCTION("""COMPUTED_VALUE"""),"2007-Japan")</f>
        <v>2007-Japan</v>
      </c>
      <c r="E104" s="8" t="str">
        <f ca="1">IFERROR(__xludf.DUMMYFUNCTION("""COMPUTED_VALUE"""),"183.0 x 32.2")</f>
        <v>183.0 x 32.2</v>
      </c>
      <c r="F104" s="8" t="str">
        <f ca="1">IFERROR(__xludf.DUMMYFUNCTION("""COMPUTED_VALUE"""),"12")</f>
        <v>12</v>
      </c>
      <c r="G104" s="8">
        <f ca="1">IFERROR(__xludf.DUMMYFUNCTION("""COMPUTED_VALUE"""),52969)</f>
        <v>52969</v>
      </c>
      <c r="H104" s="8" t="str">
        <f ca="1">IFERROR(__xludf.DUMMYFUNCTION("""COMPUTED_VALUE"""),"?/Y Epoxy")</f>
        <v>?/Y Epoxy</v>
      </c>
      <c r="I104" s="8" t="str">
        <f ca="1">IFERROR(__xludf.DUMMYFUNCTION("""COMPUTED_VALUE"""),"12 x 600")</f>
        <v>12 x 600</v>
      </c>
      <c r="J104" s="8" t="str">
        <f ca="1">IFERROR(__xludf.DUMMYFUNCTION("""COMPUTED_VALUE"""),"MAN-B&amp;W")</f>
        <v>MAN-B&amp;W</v>
      </c>
      <c r="K104" s="8" t="str">
        <f ca="1">IFERROR(__xludf.DUMMYFUNCTION("""COMPUTED_VALUE"""),"-")</f>
        <v>-</v>
      </c>
      <c r="L104" s="8" t="str">
        <f ca="1">IFERROR(__xludf.DUMMYFUNCTION("""COMPUTED_VALUE"""),"Fitted")</f>
        <v>Fitted</v>
      </c>
      <c r="M104" s="8" t="str">
        <f ca="1">IFERROR(__xludf.DUMMYFUNCTION("""COMPUTED_VALUE"""),"AB 12.27D")</f>
        <v>AB 12.27D</v>
      </c>
      <c r="N104" s="8" t="str">
        <f ca="1">IFERROR(__xludf.DUMMYFUNCTION("""COMPUTED_VALUE"""),"Morocco")</f>
        <v>Morocco</v>
      </c>
      <c r="O104" s="8" t="str">
        <f ca="1">IFERROR(__xludf.DUMMYFUNCTION("""COMPUTED_VALUE"""),"B.offers")</f>
        <v>B.offers</v>
      </c>
    </row>
    <row r="105" spans="1:15" ht="15.75" customHeight="1" x14ac:dyDescent="0.25">
      <c r="A105" s="8" t="str">
        <f ca="1">IFERROR(__xludf.DUMMYFUNCTION("""COMPUTED_VALUE"""),"TA 49999/20")</f>
        <v>TA 49999/20</v>
      </c>
      <c r="B105" s="8" t="str">
        <f ca="1">IFERROR(__xludf.DUMMYFUNCTION("""COMPUTED_VALUE"""),"MR2 ECO Scrubberfit Tanker")</f>
        <v>MR2 ECO Scrubberfit Tanker</v>
      </c>
      <c r="C105" s="9">
        <f ca="1">IFERROR(__xludf.DUMMYFUNCTION("""COMPUTED_VALUE"""),49999)</f>
        <v>49999</v>
      </c>
      <c r="D105" s="8" t="str">
        <f ca="1">IFERROR(__xludf.DUMMYFUNCTION("""COMPUTED_VALUE"""),"2020-China")</f>
        <v>2020-China</v>
      </c>
      <c r="E105" s="8" t="str">
        <f ca="1">IFERROR(__xludf.DUMMYFUNCTION("""COMPUTED_VALUE"""),"183.0 x 35.00")</f>
        <v>183.0 x 35.00</v>
      </c>
      <c r="F105" s="8" t="str">
        <f ca="1">IFERROR(__xludf.DUMMYFUNCTION("""COMPUTED_VALUE"""),"22")</f>
        <v>22</v>
      </c>
      <c r="G105" s="8">
        <f ca="1">IFERROR(__xludf.DUMMYFUNCTION("""COMPUTED_VALUE"""),58900)</f>
        <v>58900</v>
      </c>
      <c r="H105" s="8" t="str">
        <f ca="1">IFERROR(__xludf.DUMMYFUNCTION("""COMPUTED_VALUE"""),"Y/Y Zinc Silicate")</f>
        <v>Y/Y Zinc Silicate</v>
      </c>
      <c r="I105" s="8" t="str">
        <f ca="1">IFERROR(__xludf.DUMMYFUNCTION("""COMPUTED_VALUE"""),"21 x 550")</f>
        <v>21 x 550</v>
      </c>
      <c r="J105" s="8" t="str">
        <f ca="1">IFERROR(__xludf.DUMMYFUNCTION("""COMPUTED_VALUE"""),"WinGD")</f>
        <v>WinGD</v>
      </c>
      <c r="K105" s="8" t="str">
        <f ca="1">IFERROR(__xludf.DUMMYFUNCTION("""COMPUTED_VALUE"""),"14k/26 t IFO")</f>
        <v>14k/26 t IFO</v>
      </c>
      <c r="L105" s="8" t="str">
        <f ca="1">IFERROR(__xludf.DUMMYFUNCTION("""COMPUTED_VALUE"""),"Scrubber Fitted")</f>
        <v>Scrubber Fitted</v>
      </c>
      <c r="M105" s="8" t="str">
        <f ca="1">IFERROR(__xludf.DUMMYFUNCTION("""COMPUTED_VALUE"""),"LR 10/25D")</f>
        <v>LR 10/25D</v>
      </c>
      <c r="N105" s="8" t="str">
        <f ca="1">IFERROR(__xludf.DUMMYFUNCTION("""COMPUTED_VALUE"""),"WC India")</f>
        <v>WC India</v>
      </c>
      <c r="O105" s="8" t="str">
        <f ca="1">IFERROR(__xludf.DUMMYFUNCTION("""COMPUTED_VALUE"""),"40-37.0 m")</f>
        <v>40-37.0 m</v>
      </c>
    </row>
    <row r="106" spans="1:15" ht="15.75" customHeight="1" x14ac:dyDescent="0.25">
      <c r="A106" s="8" t="str">
        <f ca="1">IFERROR(__xludf.DUMMYFUNCTION("""COMPUTED_VALUE"""),"TA 49999/19")</f>
        <v>TA 49999/19</v>
      </c>
      <c r="B106" s="8" t="str">
        <f ca="1">IFERROR(__xludf.DUMMYFUNCTION("""COMPUTED_VALUE"""),"MR2 ECO Scrubberfit Tanker")</f>
        <v>MR2 ECO Scrubberfit Tanker</v>
      </c>
      <c r="C106" s="9">
        <f ca="1">IFERROR(__xludf.DUMMYFUNCTION("""COMPUTED_VALUE"""),49999)</f>
        <v>49999</v>
      </c>
      <c r="D106" s="8" t="str">
        <f ca="1">IFERROR(__xludf.DUMMYFUNCTION("""COMPUTED_VALUE"""),"2019-Vietnam")</f>
        <v>2019-Vietnam</v>
      </c>
      <c r="E106" s="8" t="str">
        <f ca="1">IFERROR(__xludf.DUMMYFUNCTION("""COMPUTED_VALUE"""),"183.0 x 32.20")</f>
        <v>183.0 x 32.20</v>
      </c>
      <c r="F106" s="8" t="str">
        <f ca="1">IFERROR(__xludf.DUMMYFUNCTION("""COMPUTED_VALUE"""),"12")</f>
        <v>12</v>
      </c>
      <c r="G106" s="8">
        <f ca="1">IFERROR(__xludf.DUMMYFUNCTION("""COMPUTED_VALUE"""),51941)</f>
        <v>51941</v>
      </c>
      <c r="H106" s="8" t="str">
        <f ca="1">IFERROR(__xludf.DUMMYFUNCTION("""COMPUTED_VALUE"""),"N/Y Epoxy")</f>
        <v>N/Y Epoxy</v>
      </c>
      <c r="I106" s="8" t="str">
        <f ca="1">IFERROR(__xludf.DUMMYFUNCTION("""COMPUTED_VALUE"""),"12 x 600")</f>
        <v>12 x 600</v>
      </c>
      <c r="J106" s="8" t="str">
        <f ca="1">IFERROR(__xludf.DUMMYFUNCTION("""COMPUTED_VALUE"""),"MAN-B&amp;W")</f>
        <v>MAN-B&amp;W</v>
      </c>
      <c r="K106" s="8" t="str">
        <f ca="1">IFERROR(__xludf.DUMMYFUNCTION("""COMPUTED_VALUE"""),"15k/24.3 t IFO")</f>
        <v>15k/24.3 t IFO</v>
      </c>
      <c r="L106" s="8" t="str">
        <f ca="1">IFERROR(__xludf.DUMMYFUNCTION("""COMPUTED_VALUE"""),"Scrubber Fitted")</f>
        <v>Scrubber Fitted</v>
      </c>
      <c r="M106" s="8" t="str">
        <f ca="1">IFERROR(__xludf.DUMMYFUNCTION("""COMPUTED_VALUE"""),"AB 1/29D")</f>
        <v>AB 1/29D</v>
      </c>
      <c r="N106" s="8" t="str">
        <f ca="1">IFERROR(__xludf.DUMMYFUNCTION("""COMPUTED_VALUE"""),"W.Africa")</f>
        <v>W.Africa</v>
      </c>
      <c r="O106" s="8" t="str">
        <f ca="1">IFERROR(__xludf.DUMMYFUNCTION("""COMPUTED_VALUE"""),"B.offers")</f>
        <v>B.offers</v>
      </c>
    </row>
    <row r="107" spans="1:15" ht="15.75" customHeight="1" x14ac:dyDescent="0.25">
      <c r="A107" s="8" t="str">
        <f ca="1">IFERROR(__xludf.DUMMYFUNCTION("""COMPUTED_VALUE"""),"TA 49999/06")</f>
        <v>TA 49999/06</v>
      </c>
      <c r="B107" s="8" t="str">
        <f ca="1">IFERROR(__xludf.DUMMYFUNCTION("""COMPUTED_VALUE"""),"MR2 CPP Product Tanker")</f>
        <v>MR2 CPP Product Tanker</v>
      </c>
      <c r="C107" s="9">
        <f ca="1">IFERROR(__xludf.DUMMYFUNCTION("""COMPUTED_VALUE"""),49999)</f>
        <v>49999</v>
      </c>
      <c r="D107" s="8" t="str">
        <f ca="1">IFERROR(__xludf.DUMMYFUNCTION("""COMPUTED_VALUE"""),"2006-Japan")</f>
        <v>2006-Japan</v>
      </c>
      <c r="E107" s="8" t="str">
        <f ca="1">IFERROR(__xludf.DUMMYFUNCTION("""COMPUTED_VALUE"""),"185.9 X 32.23")</f>
        <v>185.9 X 32.23</v>
      </c>
      <c r="F107" s="8" t="str">
        <f ca="1">IFERROR(__xludf.DUMMYFUNCTION("""COMPUTED_VALUE"""),"12")</f>
        <v>12</v>
      </c>
      <c r="G107" s="8">
        <f ca="1">IFERROR(__xludf.DUMMYFUNCTION("""COMPUTED_VALUE"""),56762)</f>
        <v>56762</v>
      </c>
      <c r="H107" s="8" t="str">
        <f ca="1">IFERROR(__xludf.DUMMYFUNCTION("""COMPUTED_VALUE"""),"Y/Y Epoxy")</f>
        <v>Y/Y Epoxy</v>
      </c>
      <c r="I107" s="8" t="str">
        <f ca="1">IFERROR(__xludf.DUMMYFUNCTION("""COMPUTED_VALUE"""),"4 x 1000")</f>
        <v>4 x 1000</v>
      </c>
      <c r="J107" s="8" t="str">
        <f ca="1">IFERROR(__xludf.DUMMYFUNCTION("""COMPUTED_VALUE"""),"MAN-B&amp;W")</f>
        <v>MAN-B&amp;W</v>
      </c>
      <c r="K107" s="8" t="str">
        <f ca="1">IFERROR(__xludf.DUMMYFUNCTION("""COMPUTED_VALUE"""),"15.8")</f>
        <v>15.8</v>
      </c>
      <c r="L107" s="8" t="str">
        <f ca="1">IFERROR(__xludf.DUMMYFUNCTION("""COMPUTED_VALUE"""),"Fitted")</f>
        <v>Fitted</v>
      </c>
      <c r="M107" s="8" t="str">
        <f ca="1">IFERROR(__xludf.DUMMYFUNCTION("""COMPUTED_VALUE"""),"NK 11.25D")</f>
        <v>NK 11.25D</v>
      </c>
      <c r="N107" s="8" t="str">
        <f ca="1">IFERROR(__xludf.DUMMYFUNCTION("""COMPUTED_VALUE"""),"Canada ")</f>
        <v xml:space="preserve">Canada </v>
      </c>
      <c r="O107" s="8" t="str">
        <f ca="1">IFERROR(__xludf.DUMMYFUNCTION("""COMPUTED_VALUE"""),"15-14.2m")</f>
        <v>15-14.2m</v>
      </c>
    </row>
    <row r="108" spans="1:15" ht="15.75" customHeight="1" x14ac:dyDescent="0.25">
      <c r="A108" s="8" t="str">
        <f ca="1">IFERROR(__xludf.DUMMYFUNCTION("""COMPUTED_VALUE"""),"TA 49999/08")</f>
        <v>TA 49999/08</v>
      </c>
      <c r="B108" s="8" t="str">
        <f ca="1">IFERROR(__xludf.DUMMYFUNCTION("""COMPUTED_VALUE"""),"MR2 Oil/Chem/Prods Tanker")</f>
        <v>MR2 Oil/Chem/Prods Tanker</v>
      </c>
      <c r="C108" s="9">
        <f ca="1">IFERROR(__xludf.DUMMYFUNCTION("""COMPUTED_VALUE"""),49999)</f>
        <v>49999</v>
      </c>
      <c r="D108" s="8" t="str">
        <f ca="1">IFERROR(__xludf.DUMMYFUNCTION("""COMPUTED_VALUE"""),"2008-China")</f>
        <v>2008-China</v>
      </c>
      <c r="E108" s="8" t="str">
        <f ca="1">IFERROR(__xludf.DUMMYFUNCTION("""COMPUTED_VALUE"""),"183.2 x 32.20")</f>
        <v>183.2 x 32.20</v>
      </c>
      <c r="F108" s="8" t="str">
        <f ca="1">IFERROR(__xludf.DUMMYFUNCTION("""COMPUTED_VALUE"""),"12")</f>
        <v>12</v>
      </c>
      <c r="G108" s="8">
        <f ca="1">IFERROR(__xludf.DUMMYFUNCTION("""COMPUTED_VALUE"""),51470)</f>
        <v>51470</v>
      </c>
      <c r="H108" s="8" t="str">
        <f ca="1">IFERROR(__xludf.DUMMYFUNCTION("""COMPUTED_VALUE"""),"Y/Y Epoxy")</f>
        <v>Y/Y Epoxy</v>
      </c>
      <c r="I108" s="8" t="str">
        <f ca="1">IFERROR(__xludf.DUMMYFUNCTION("""COMPUTED_VALUE"""),"12 x 550")</f>
        <v>12 x 550</v>
      </c>
      <c r="J108" s="8" t="str">
        <f ca="1">IFERROR(__xludf.DUMMYFUNCTION("""COMPUTED_VALUE"""),"MAN-B&amp;W")</f>
        <v>MAN-B&amp;W</v>
      </c>
      <c r="K108" s="8" t="str">
        <f ca="1">IFERROR(__xludf.DUMMYFUNCTION("""COMPUTED_VALUE"""),"14k/34.5t FO")</f>
        <v>14k/34.5t FO</v>
      </c>
      <c r="L108" s="8" t="str">
        <f ca="1">IFERROR(__xludf.DUMMYFUNCTION("""COMPUTED_VALUE"""),"To be chkd")</f>
        <v>To be chkd</v>
      </c>
      <c r="M108" s="8" t="str">
        <f ca="1">IFERROR(__xludf.DUMMYFUNCTION("""COMPUTED_VALUE"""),"AB 9/28D")</f>
        <v>AB 9/28D</v>
      </c>
      <c r="N108" s="8" t="str">
        <f ca="1">IFERROR(__xludf.DUMMYFUNCTION("""COMPUTED_VALUE"""),"Colombo")</f>
        <v>Colombo</v>
      </c>
      <c r="O108" s="8" t="str">
        <f ca="1">IFERROR(__xludf.DUMMYFUNCTION("""COMPUTED_VALUE"""),"B.offers")</f>
        <v>B.offers</v>
      </c>
    </row>
    <row r="109" spans="1:15" ht="15.75" customHeight="1" x14ac:dyDescent="0.25">
      <c r="A109" s="8" t="str">
        <f ca="1">IFERROR(__xludf.DUMMYFUNCTION("""COMPUTED_VALUE"""),"TA 49997/20")</f>
        <v>TA 49997/20</v>
      </c>
      <c r="B109" s="8" t="str">
        <f ca="1">IFERROR(__xludf.DUMMYFUNCTION("""COMPUTED_VALUE"""),"MR2 ECO Scrubberfit Tanker")</f>
        <v>MR2 ECO Scrubberfit Tanker</v>
      </c>
      <c r="C109" s="9">
        <f ca="1">IFERROR(__xludf.DUMMYFUNCTION("""COMPUTED_VALUE"""),49997)</f>
        <v>49997</v>
      </c>
      <c r="D109" s="8" t="str">
        <f ca="1">IFERROR(__xludf.DUMMYFUNCTION("""COMPUTED_VALUE"""),"2020-China")</f>
        <v>2020-China</v>
      </c>
      <c r="E109" s="8" t="str">
        <f ca="1">IFERROR(__xludf.DUMMYFUNCTION("""COMPUTED_VALUE"""),"183.0 x 35.00")</f>
        <v>183.0 x 35.00</v>
      </c>
      <c r="F109" s="8" t="str">
        <f ca="1">IFERROR(__xludf.DUMMYFUNCTION("""COMPUTED_VALUE"""),"12")</f>
        <v>12</v>
      </c>
      <c r="G109" s="8">
        <f ca="1">IFERROR(__xludf.DUMMYFUNCTION("""COMPUTED_VALUE"""),58140)</f>
        <v>58140</v>
      </c>
      <c r="H109" s="8" t="str">
        <f ca="1">IFERROR(__xludf.DUMMYFUNCTION("""COMPUTED_VALUE"""),"Y/Y Zinc Silicate")</f>
        <v>Y/Y Zinc Silicate</v>
      </c>
      <c r="I109" s="8" t="str">
        <f ca="1">IFERROR(__xludf.DUMMYFUNCTION("""COMPUTED_VALUE"""),"21 x 550")</f>
        <v>21 x 550</v>
      </c>
      <c r="J109" s="8" t="str">
        <f ca="1">IFERROR(__xludf.DUMMYFUNCTION("""COMPUTED_VALUE"""),"MAN-B&amp;W")</f>
        <v>MAN-B&amp;W</v>
      </c>
      <c r="K109" s="8" t="str">
        <f ca="1">IFERROR(__xludf.DUMMYFUNCTION("""COMPUTED_VALUE"""),"14k/26 t IFO")</f>
        <v>14k/26 t IFO</v>
      </c>
      <c r="L109" s="8" t="str">
        <f ca="1">IFERROR(__xludf.DUMMYFUNCTION("""COMPUTED_VALUE"""),"Scrubber Fitted")</f>
        <v>Scrubber Fitted</v>
      </c>
      <c r="M109" s="8" t="str">
        <f ca="1">IFERROR(__xludf.DUMMYFUNCTION("""COMPUTED_VALUE"""),"LR 8/25D")</f>
        <v>LR 8/25D</v>
      </c>
      <c r="N109" s="8" t="str">
        <f ca="1">IFERROR(__xludf.DUMMYFUNCTION("""COMPUTED_VALUE"""),"Fareast")</f>
        <v>Fareast</v>
      </c>
      <c r="O109" s="8" t="str">
        <f ca="1">IFERROR(__xludf.DUMMYFUNCTION("""COMPUTED_VALUE"""),"40-37.0 m")</f>
        <v>40-37.0 m</v>
      </c>
    </row>
    <row r="110" spans="1:15" ht="15.75" customHeight="1" x14ac:dyDescent="0.25">
      <c r="A110" s="8" t="str">
        <f ca="1">IFERROR(__xludf.DUMMYFUNCTION("""COMPUTED_VALUE"""),"TA 49997/15 withdr")</f>
        <v>TA 49997/15 withdr</v>
      </c>
      <c r="B110" s="8" t="str">
        <f ca="1">IFERROR(__xludf.DUMMYFUNCTION("""COMPUTED_VALUE""")," MR2 Oil/Chemical Tanker")</f>
        <v xml:space="preserve"> MR2 Oil/Chemical Tanker</v>
      </c>
      <c r="C110" s="9">
        <f ca="1">IFERROR(__xludf.DUMMYFUNCTION("""COMPUTED_VALUE"""),49997)</f>
        <v>49997</v>
      </c>
      <c r="D110" s="8" t="str">
        <f ca="1">IFERROR(__xludf.DUMMYFUNCTION("""COMPUTED_VALUE"""),"2015-Korea")</f>
        <v>2015-Korea</v>
      </c>
      <c r="E110" s="8" t="str">
        <f ca="1">IFERROR(__xludf.DUMMYFUNCTION("""COMPUTED_VALUE"""),"183.0 x 32.2")</f>
        <v>183.0 x 32.2</v>
      </c>
      <c r="F110" s="8" t="str">
        <f ca="1">IFERROR(__xludf.DUMMYFUNCTION("""COMPUTED_VALUE"""),"14")</f>
        <v>14</v>
      </c>
      <c r="G110" s="8">
        <f ca="1">IFERROR(__xludf.DUMMYFUNCTION("""COMPUTED_VALUE"""),51606)</f>
        <v>51606</v>
      </c>
      <c r="H110" s="8" t="str">
        <f ca="1">IFERROR(__xludf.DUMMYFUNCTION("""COMPUTED_VALUE"""),"Y Heat/Y Epoxy")</f>
        <v>Y Heat/Y Epoxy</v>
      </c>
      <c r="I110" s="8" t="str">
        <f ca="1">IFERROR(__xludf.DUMMYFUNCTION("""COMPUTED_VALUE"""),"12 X 600")</f>
        <v>12 X 600</v>
      </c>
      <c r="J110" s="8" t="str">
        <f ca="1">IFERROR(__xludf.DUMMYFUNCTION("""COMPUTED_VALUE"""),"MAN-B&amp;W")</f>
        <v>MAN-B&amp;W</v>
      </c>
      <c r="K110" s="8" t="str">
        <f ca="1">IFERROR(__xludf.DUMMYFUNCTION("""COMPUTED_VALUE"""),"15 k/24.3t FO")</f>
        <v>15 k/24.3t FO</v>
      </c>
      <c r="L110" s="8" t="str">
        <f ca="1">IFERROR(__xludf.DUMMYFUNCTION("""COMPUTED_VALUE"""),"To be chkd")</f>
        <v>To be chkd</v>
      </c>
      <c r="M110" s="8" t="str">
        <f ca="1">IFERROR(__xludf.DUMMYFUNCTION("""COMPUTED_VALUE"""),"KR 7/25P")</f>
        <v>KR 7/25P</v>
      </c>
      <c r="N110" s="8" t="str">
        <f ca="1">IFERROR(__xludf.DUMMYFUNCTION("""COMPUTED_VALUE"""),"Withdrawn")</f>
        <v>Withdrawn</v>
      </c>
      <c r="O110" s="8" t="str">
        <f ca="1">IFERROR(__xludf.DUMMYFUNCTION("""COMPUTED_VALUE"""),"34.5 m")</f>
        <v>34.5 m</v>
      </c>
    </row>
    <row r="111" spans="1:15" ht="15.75" customHeight="1" x14ac:dyDescent="0.25">
      <c r="A111" s="8" t="str">
        <f ca="1">IFERROR(__xludf.DUMMYFUNCTION("""COMPUTED_VALUE"""),"TA 49990/14")</f>
        <v>TA 49990/14</v>
      </c>
      <c r="B111" s="8" t="str">
        <f ca="1">IFERROR(__xludf.DUMMYFUNCTION("""COMPUTED_VALUE"""),"MR2 Oil/Chemical Tanker")</f>
        <v>MR2 Oil/Chemical Tanker</v>
      </c>
      <c r="C111" s="9">
        <f ca="1">IFERROR(__xludf.DUMMYFUNCTION("""COMPUTED_VALUE"""),49990)</f>
        <v>49990</v>
      </c>
      <c r="D111" s="8" t="str">
        <f ca="1">IFERROR(__xludf.DUMMYFUNCTION("""COMPUTED_VALUE"""),"2014-Korea")</f>
        <v>2014-Korea</v>
      </c>
      <c r="E111" s="8" t="str">
        <f ca="1">IFERROR(__xludf.DUMMYFUNCTION("""COMPUTED_VALUE"""),"183.1 x 32.20")</f>
        <v>183.1 x 32.20</v>
      </c>
      <c r="F111" s="8" t="str">
        <f ca="1">IFERROR(__xludf.DUMMYFUNCTION("""COMPUTED_VALUE"""),"14")</f>
        <v>14</v>
      </c>
      <c r="G111" s="8">
        <f ca="1">IFERROR(__xludf.DUMMYFUNCTION("""COMPUTED_VALUE"""),52434)</f>
        <v>52434</v>
      </c>
      <c r="H111" s="8" t="str">
        <f ca="1">IFERROR(__xludf.DUMMYFUNCTION("""COMPUTED_VALUE"""),"?/Y Epoxy")</f>
        <v>?/Y Epoxy</v>
      </c>
      <c r="I111" s="8" t="str">
        <f ca="1">IFERROR(__xludf.DUMMYFUNCTION("""COMPUTED_VALUE"""),"12 x 600")</f>
        <v>12 x 600</v>
      </c>
      <c r="J111" s="8" t="str">
        <f ca="1">IFERROR(__xludf.DUMMYFUNCTION("""COMPUTED_VALUE"""),"MAN-B&amp;W")</f>
        <v>MAN-B&amp;W</v>
      </c>
      <c r="K111" s="8" t="str">
        <f ca="1">IFERROR(__xludf.DUMMYFUNCTION("""COMPUTED_VALUE"""),"14.5 k/24.3t FO")</f>
        <v>14.5 k/24.3t FO</v>
      </c>
      <c r="L111" s="8" t="str">
        <f ca="1">IFERROR(__xludf.DUMMYFUNCTION("""COMPUTED_VALUE"""),"Scrubber fitted")</f>
        <v>Scrubber fitted</v>
      </c>
      <c r="M111" s="8" t="str">
        <f ca="1">IFERROR(__xludf.DUMMYFUNCTION("""COMPUTED_VALUE"""),"AB 11/29D")</f>
        <v>AB 11/29D</v>
      </c>
      <c r="N111" s="8" t="str">
        <f ca="1">IFERROR(__xludf.DUMMYFUNCTION("""COMPUTED_VALUE"""),"Chek")</f>
        <v>Chek</v>
      </c>
      <c r="O111" s="8" t="str">
        <f ca="1">IFERROR(__xludf.DUMMYFUNCTION("""COMPUTED_VALUE"""),"31.0 m")</f>
        <v>31.0 m</v>
      </c>
    </row>
    <row r="112" spans="1:15" ht="15.75" customHeight="1" x14ac:dyDescent="0.25">
      <c r="A112" s="8" t="str">
        <f ca="1">IFERROR(__xludf.DUMMYFUNCTION("""COMPUTED_VALUE"""),"TA 49962/11")</f>
        <v>TA 49962/11</v>
      </c>
      <c r="B112" s="8" t="str">
        <f ca="1">IFERROR(__xludf.DUMMYFUNCTION("""COMPUTED_VALUE"""),"MR2 Oil/Chemical Tanker")</f>
        <v>MR2 Oil/Chemical Tanker</v>
      </c>
      <c r="C112" s="9">
        <f ca="1">IFERROR(__xludf.DUMMYFUNCTION("""COMPUTED_VALUE"""),49962)</f>
        <v>49962</v>
      </c>
      <c r="D112" s="8" t="str">
        <f ca="1">IFERROR(__xludf.DUMMYFUNCTION("""COMPUTED_VALUE"""),"2011-Japan")</f>
        <v>2011-Japan</v>
      </c>
      <c r="E112" s="8" t="str">
        <f ca="1">IFERROR(__xludf.DUMMYFUNCTION("""COMPUTED_VALUE"""),"182.5 x 32.2")</f>
        <v>182.5 x 32.2</v>
      </c>
      <c r="F112" s="8" t="str">
        <f ca="1">IFERROR(__xludf.DUMMYFUNCTION("""COMPUTED_VALUE"""),"14")</f>
        <v>14</v>
      </c>
      <c r="G112" s="8">
        <f ca="1">IFERROR(__xludf.DUMMYFUNCTION("""COMPUTED_VALUE"""),55000)</f>
        <v>55000</v>
      </c>
      <c r="H112" s="8" t="str">
        <f ca="1">IFERROR(__xludf.DUMMYFUNCTION("""COMPUTED_VALUE"""),"?/y Epoxy")</f>
        <v>?/y Epoxy</v>
      </c>
      <c r="I112" s="8" t="str">
        <f ca="1">IFERROR(__xludf.DUMMYFUNCTION("""COMPUTED_VALUE"""),"12 x 600")</f>
        <v>12 x 600</v>
      </c>
      <c r="J112" s="8" t="str">
        <f ca="1">IFERROR(__xludf.DUMMYFUNCTION("""COMPUTED_VALUE"""),"MAN-B&amp;W")</f>
        <v>MAN-B&amp;W</v>
      </c>
      <c r="K112" s="8" t="str">
        <f ca="1">IFERROR(__xludf.DUMMYFUNCTION("""COMPUTED_VALUE"""),"-")</f>
        <v>-</v>
      </c>
      <c r="L112" s="8" t="str">
        <f ca="1">IFERROR(__xludf.DUMMYFUNCTION("""COMPUTED_VALUE"""),"To be chkd")</f>
        <v>To be chkd</v>
      </c>
      <c r="M112" s="8" t="str">
        <f ca="1">IFERROR(__xludf.DUMMYFUNCTION("""COMPUTED_VALUE"""),"CC 11/25D")</f>
        <v>CC 11/25D</v>
      </c>
      <c r="N112" s="8" t="str">
        <f ca="1">IFERROR(__xludf.DUMMYFUNCTION("""COMPUTED_VALUE"""),"Fareast")</f>
        <v>Fareast</v>
      </c>
      <c r="O112" s="8" t="str">
        <f ca="1">IFERROR(__xludf.DUMMYFUNCTION("""COMPUTED_VALUE"""),"26-24.5 m")</f>
        <v>26-24.5 m</v>
      </c>
    </row>
    <row r="113" spans="1:15" ht="15.75" customHeight="1" x14ac:dyDescent="0.25">
      <c r="A113" s="8" t="str">
        <f ca="1">IFERROR(__xludf.DUMMYFUNCTION("""COMPUTED_VALUE"""),"TA 49765/14")</f>
        <v>TA 49765/14</v>
      </c>
      <c r="B113" s="8" t="str">
        <f ca="1">IFERROR(__xludf.DUMMYFUNCTION("""COMPUTED_VALUE"""),"Eco MR2 Oil/Chem Tanker")</f>
        <v>Eco MR2 Oil/Chem Tanker</v>
      </c>
      <c r="C113" s="9">
        <f ca="1">IFERROR(__xludf.DUMMYFUNCTION("""COMPUTED_VALUE"""),49765)</f>
        <v>49765</v>
      </c>
      <c r="D113" s="8" t="str">
        <f ca="1">IFERROR(__xludf.DUMMYFUNCTION("""COMPUTED_VALUE"""),"2014-Korea")</f>
        <v>2014-Korea</v>
      </c>
      <c r="E113" s="8" t="str">
        <f ca="1">IFERROR(__xludf.DUMMYFUNCTION("""COMPUTED_VALUE"""),"186.0 x 32.2")</f>
        <v>186.0 x 32.2</v>
      </c>
      <c r="F113" s="8" t="str">
        <f ca="1">IFERROR(__xludf.DUMMYFUNCTION("""COMPUTED_VALUE"""),"14")</f>
        <v>14</v>
      </c>
      <c r="G113" s="8">
        <f ca="1">IFERROR(__xludf.DUMMYFUNCTION("""COMPUTED_VALUE"""),52600)</f>
        <v>52600</v>
      </c>
      <c r="H113" s="8" t="str">
        <f ca="1">IFERROR(__xludf.DUMMYFUNCTION("""COMPUTED_VALUE"""),"Y/Y Epoxy")</f>
        <v>Y/Y Epoxy</v>
      </c>
      <c r="I113" s="8" t="str">
        <f ca="1">IFERROR(__xludf.DUMMYFUNCTION("""COMPUTED_VALUE"""),"12 x 600")</f>
        <v>12 x 600</v>
      </c>
      <c r="J113" s="8" t="str">
        <f ca="1">IFERROR(__xludf.DUMMYFUNCTION("""COMPUTED_VALUE"""),"MAN-B&amp;W")</f>
        <v>MAN-B&amp;W</v>
      </c>
      <c r="K113" s="8" t="str">
        <f ca="1">IFERROR(__xludf.DUMMYFUNCTION("""COMPUTED_VALUE"""),"ECO MR")</f>
        <v>ECO MR</v>
      </c>
      <c r="L113" s="8" t="str">
        <f ca="1">IFERROR(__xludf.DUMMYFUNCTION("""COMPUTED_VALUE"""),"No Scrub")</f>
        <v>No Scrub</v>
      </c>
      <c r="M113" s="8" t="str">
        <f ca="1">IFERROR(__xludf.DUMMYFUNCTION("""COMPUTED_VALUE"""),"KR 4.29D")</f>
        <v>KR 4.29D</v>
      </c>
      <c r="N113" s="8" t="str">
        <f ca="1">IFERROR(__xludf.DUMMYFUNCTION("""COMPUTED_VALUE"""),"Singapore")</f>
        <v>Singapore</v>
      </c>
      <c r="O113" s="8" t="str">
        <f ca="1">IFERROR(__xludf.DUMMYFUNCTION("""COMPUTED_VALUE"""),"B.offers")</f>
        <v>B.offers</v>
      </c>
    </row>
    <row r="114" spans="1:15" ht="15.75" customHeight="1" x14ac:dyDescent="0.25">
      <c r="A114" s="8" t="str">
        <f ca="1">IFERROR(__xludf.DUMMYFUNCTION("""COMPUTED_VALUE"""),"TA 49746/14A")</f>
        <v>TA 49746/14A</v>
      </c>
      <c r="B114" s="8" t="str">
        <f ca="1">IFERROR(__xludf.DUMMYFUNCTION("""COMPUTED_VALUE"""),"Eco MR2 Oil/Chem Tanker")</f>
        <v>Eco MR2 Oil/Chem Tanker</v>
      </c>
      <c r="C114" s="9">
        <f ca="1">IFERROR(__xludf.DUMMYFUNCTION("""COMPUTED_VALUE"""),49746)</f>
        <v>49746</v>
      </c>
      <c r="D114" s="8" t="str">
        <f ca="1">IFERROR(__xludf.DUMMYFUNCTION("""COMPUTED_VALUE"""),"2014-Korea")</f>
        <v>2014-Korea</v>
      </c>
      <c r="E114" s="8" t="str">
        <f ca="1">IFERROR(__xludf.DUMMYFUNCTION("""COMPUTED_VALUE"""),"186.0 x 32.2")</f>
        <v>186.0 x 32.2</v>
      </c>
      <c r="F114" s="8" t="str">
        <f ca="1">IFERROR(__xludf.DUMMYFUNCTION("""COMPUTED_VALUE"""),"14")</f>
        <v>14</v>
      </c>
      <c r="G114" s="8">
        <f ca="1">IFERROR(__xludf.DUMMYFUNCTION("""COMPUTED_VALUE"""),51580)</f>
        <v>51580</v>
      </c>
      <c r="H114" s="8" t="str">
        <f ca="1">IFERROR(__xludf.DUMMYFUNCTION("""COMPUTED_VALUE"""),"Y/Y Epoxy")</f>
        <v>Y/Y Epoxy</v>
      </c>
      <c r="I114" s="8" t="str">
        <f ca="1">IFERROR(__xludf.DUMMYFUNCTION("""COMPUTED_VALUE"""),"12 x 600")</f>
        <v>12 x 600</v>
      </c>
      <c r="J114" s="8" t="str">
        <f ca="1">IFERROR(__xludf.DUMMYFUNCTION("""COMPUTED_VALUE"""),"MAN-B&amp;W")</f>
        <v>MAN-B&amp;W</v>
      </c>
      <c r="K114" s="8" t="str">
        <f ca="1">IFERROR(__xludf.DUMMYFUNCTION("""COMPUTED_VALUE"""),"ECO MR")</f>
        <v>ECO MR</v>
      </c>
      <c r="L114" s="8" t="str">
        <f ca="1">IFERROR(__xludf.DUMMYFUNCTION("""COMPUTED_VALUE"""),"Scrub fit")</f>
        <v>Scrub fit</v>
      </c>
      <c r="M114" s="8" t="str">
        <f ca="1">IFERROR(__xludf.DUMMYFUNCTION("""COMPUTED_VALUE"""),"KR 9.24P")</f>
        <v>KR 9.24P</v>
      </c>
      <c r="N114" s="8" t="str">
        <f ca="1">IFERROR(__xludf.DUMMYFUNCTION("""COMPUTED_VALUE"""),"PG")</f>
        <v>PG</v>
      </c>
      <c r="O114" s="8" t="str">
        <f ca="1">IFERROR(__xludf.DUMMYFUNCTION("""COMPUTED_VALUE"""),"B.offers")</f>
        <v>B.offers</v>
      </c>
    </row>
    <row r="115" spans="1:15" ht="15.75" customHeight="1" x14ac:dyDescent="0.25">
      <c r="A115" s="8" t="str">
        <f ca="1">IFERROR(__xludf.DUMMYFUNCTION("""COMPUTED_VALUE"""),"TA 49746/14B")</f>
        <v>TA 49746/14B</v>
      </c>
      <c r="B115" s="8" t="str">
        <f ca="1">IFERROR(__xludf.DUMMYFUNCTION("""COMPUTED_VALUE"""),"Eco MR2 Oil/Chem Tanker")</f>
        <v>Eco MR2 Oil/Chem Tanker</v>
      </c>
      <c r="C115" s="9">
        <f ca="1">IFERROR(__xludf.DUMMYFUNCTION("""COMPUTED_VALUE"""),49746)</f>
        <v>49746</v>
      </c>
      <c r="D115" s="8" t="str">
        <f ca="1">IFERROR(__xludf.DUMMYFUNCTION("""COMPUTED_VALUE"""),"2014-Korea")</f>
        <v>2014-Korea</v>
      </c>
      <c r="E115" s="8" t="str">
        <f ca="1">IFERROR(__xludf.DUMMYFUNCTION("""COMPUTED_VALUE"""),"186.0 x 32.2")</f>
        <v>186.0 x 32.2</v>
      </c>
      <c r="F115" s="8" t="str">
        <f ca="1">IFERROR(__xludf.DUMMYFUNCTION("""COMPUTED_VALUE"""),"14")</f>
        <v>14</v>
      </c>
      <c r="G115" s="8">
        <f ca="1">IFERROR(__xludf.DUMMYFUNCTION("""COMPUTED_VALUE"""),52600)</f>
        <v>52600</v>
      </c>
      <c r="H115" s="8" t="str">
        <f ca="1">IFERROR(__xludf.DUMMYFUNCTION("""COMPUTED_VALUE"""),"Y/Y Epoxy")</f>
        <v>Y/Y Epoxy</v>
      </c>
      <c r="I115" s="8" t="str">
        <f ca="1">IFERROR(__xludf.DUMMYFUNCTION("""COMPUTED_VALUE"""),"12 x 600")</f>
        <v>12 x 600</v>
      </c>
      <c r="J115" s="8" t="str">
        <f ca="1">IFERROR(__xludf.DUMMYFUNCTION("""COMPUTED_VALUE"""),"MAN-B&amp;W")</f>
        <v>MAN-B&amp;W</v>
      </c>
      <c r="K115" s="8" t="str">
        <f ca="1">IFERROR(__xludf.DUMMYFUNCTION("""COMPUTED_VALUE"""),"ECO MR")</f>
        <v>ECO MR</v>
      </c>
      <c r="L115" s="8" t="str">
        <f ca="1">IFERROR(__xludf.DUMMYFUNCTION("""COMPUTED_VALUE"""),"Scrub fit")</f>
        <v>Scrub fit</v>
      </c>
      <c r="M115" s="8" t="str">
        <f ca="1">IFERROR(__xludf.DUMMYFUNCTION("""COMPUTED_VALUE"""),"KR 6.29D")</f>
        <v>KR 6.29D</v>
      </c>
      <c r="N115" s="8" t="str">
        <f ca="1">IFERROR(__xludf.DUMMYFUNCTION("""COMPUTED_VALUE"""),"USG")</f>
        <v>USG</v>
      </c>
      <c r="O115" s="8" t="str">
        <f ca="1">IFERROR(__xludf.DUMMYFUNCTION("""COMPUTED_VALUE"""),"B.offers")</f>
        <v>B.offers</v>
      </c>
    </row>
    <row r="116" spans="1:15" ht="15.75" customHeight="1" x14ac:dyDescent="0.25">
      <c r="A116" s="8" t="str">
        <f ca="1">IFERROR(__xludf.DUMMYFUNCTION("""COMPUTED_VALUE"""),"TA 49746/14C")</f>
        <v>TA 49746/14C</v>
      </c>
      <c r="B116" s="8" t="str">
        <f ca="1">IFERROR(__xludf.DUMMYFUNCTION("""COMPUTED_VALUE"""),"Eco MR2 Oil/Chem Tanker")</f>
        <v>Eco MR2 Oil/Chem Tanker</v>
      </c>
      <c r="C116" s="9">
        <f ca="1">IFERROR(__xludf.DUMMYFUNCTION("""COMPUTED_VALUE"""),49746)</f>
        <v>49746</v>
      </c>
      <c r="D116" s="8" t="str">
        <f ca="1">IFERROR(__xludf.DUMMYFUNCTION("""COMPUTED_VALUE"""),"2014-Korea")</f>
        <v>2014-Korea</v>
      </c>
      <c r="E116" s="8" t="str">
        <f ca="1">IFERROR(__xludf.DUMMYFUNCTION("""COMPUTED_VALUE"""),"186.0 x 32.2")</f>
        <v>186.0 x 32.2</v>
      </c>
      <c r="F116" s="8" t="str">
        <f ca="1">IFERROR(__xludf.DUMMYFUNCTION("""COMPUTED_VALUE"""),"14")</f>
        <v>14</v>
      </c>
      <c r="G116" s="8">
        <f ca="1">IFERROR(__xludf.DUMMYFUNCTION("""COMPUTED_VALUE"""),52600)</f>
        <v>52600</v>
      </c>
      <c r="H116" s="8" t="str">
        <f ca="1">IFERROR(__xludf.DUMMYFUNCTION("""COMPUTED_VALUE"""),"Y/Y Epoxy")</f>
        <v>Y/Y Epoxy</v>
      </c>
      <c r="I116" s="8" t="str">
        <f ca="1">IFERROR(__xludf.DUMMYFUNCTION("""COMPUTED_VALUE"""),"12 x 600")</f>
        <v>12 x 600</v>
      </c>
      <c r="J116" s="8" t="str">
        <f ca="1">IFERROR(__xludf.DUMMYFUNCTION("""COMPUTED_VALUE"""),"MAN-B&amp;W")</f>
        <v>MAN-B&amp;W</v>
      </c>
      <c r="K116" s="8" t="str">
        <f ca="1">IFERROR(__xludf.DUMMYFUNCTION("""COMPUTED_VALUE"""),"ECO MR")</f>
        <v>ECO MR</v>
      </c>
      <c r="L116" s="8" t="str">
        <f ca="1">IFERROR(__xludf.DUMMYFUNCTION("""COMPUTED_VALUE"""),"No Scrub")</f>
        <v>No Scrub</v>
      </c>
      <c r="M116" s="8" t="str">
        <f ca="1">IFERROR(__xludf.DUMMYFUNCTION("""COMPUTED_VALUE"""),"KR 10/24P")</f>
        <v>KR 10/24P</v>
      </c>
      <c r="N116" s="8" t="str">
        <f ca="1">IFERROR(__xludf.DUMMYFUNCTION("""COMPUTED_VALUE"""),"NOLA")</f>
        <v>NOLA</v>
      </c>
      <c r="O116" s="8" t="str">
        <f ca="1">IFERROR(__xludf.DUMMYFUNCTION("""COMPUTED_VALUE"""),"B.offers")</f>
        <v>B.offers</v>
      </c>
    </row>
    <row r="117" spans="1:15" ht="15.75" customHeight="1" x14ac:dyDescent="0.25">
      <c r="A117" s="8" t="str">
        <f ca="1">IFERROR(__xludf.DUMMYFUNCTION("""COMPUTED_VALUE"""),"TA 48539/05")</f>
        <v>TA 48539/05</v>
      </c>
      <c r="B117" s="8" t="str">
        <f ca="1">IFERROR(__xludf.DUMMYFUNCTION("""COMPUTED_VALUE"""),"MR2 Oil/Chem/Ice 1D Tanker")</f>
        <v>MR2 Oil/Chem/Ice 1D Tanker</v>
      </c>
      <c r="C117" s="9">
        <f ca="1">IFERROR(__xludf.DUMMYFUNCTION("""COMPUTED_VALUE"""),48539)</f>
        <v>48539</v>
      </c>
      <c r="D117" s="8" t="str">
        <f ca="1">IFERROR(__xludf.DUMMYFUNCTION("""COMPUTED_VALUE"""),"2005-Japan")</f>
        <v>2005-Japan</v>
      </c>
      <c r="E117" s="8" t="str">
        <f ca="1">IFERROR(__xludf.DUMMYFUNCTION("""COMPUTED_VALUE"""),"179.9 x 32.20")</f>
        <v>179.9 x 32.20</v>
      </c>
      <c r="F117" s="8" t="str">
        <f ca="1">IFERROR(__xludf.DUMMYFUNCTION("""COMPUTED_VALUE"""),"18")</f>
        <v>18</v>
      </c>
      <c r="G117" s="8">
        <f ca="1">IFERROR(__xludf.DUMMYFUNCTION("""COMPUTED_VALUE"""),54754)</f>
        <v>54754</v>
      </c>
      <c r="H117" s="8" t="str">
        <f ca="1">IFERROR(__xludf.DUMMYFUNCTION("""COMPUTED_VALUE"""),"Y stst/Y Epoxy")</f>
        <v>Y stst/Y Epoxy</v>
      </c>
      <c r="I117" s="8" t="str">
        <f ca="1">IFERROR(__xludf.DUMMYFUNCTION("""COMPUTED_VALUE"""),"4 x 1250")</f>
        <v>4 x 1250</v>
      </c>
      <c r="J117" s="8" t="str">
        <f ca="1">IFERROR(__xludf.DUMMYFUNCTION("""COMPUTED_VALUE"""),"MAN-B&amp;W")</f>
        <v>MAN-B&amp;W</v>
      </c>
      <c r="K117" s="8" t="str">
        <f ca="1">IFERROR(__xludf.DUMMYFUNCTION("""COMPUTED_VALUE"""),"15.1k/27t IFO")</f>
        <v>15.1k/27t IFO</v>
      </c>
      <c r="L117" s="8" t="str">
        <f ca="1">IFERROR(__xludf.DUMMYFUNCTION("""COMPUTED_VALUE"""),"Fitted")</f>
        <v>Fitted</v>
      </c>
      <c r="M117" s="8" t="str">
        <f ca="1">IFERROR(__xludf.DUMMYFUNCTION("""COMPUTED_VALUE"""),"LR 8/28D")</f>
        <v>LR 8/28D</v>
      </c>
      <c r="N117" s="8" t="str">
        <f ca="1">IFERROR(__xludf.DUMMYFUNCTION("""COMPUTED_VALUE"""),"AG-Sgpor")</f>
        <v>AG-Sgpor</v>
      </c>
      <c r="O117" s="8" t="str">
        <f ca="1">IFERROR(__xludf.DUMMYFUNCTION("""COMPUTED_VALUE"""),"B.offers")</f>
        <v>B.offers</v>
      </c>
    </row>
    <row r="118" spans="1:15" ht="15.75" customHeight="1" x14ac:dyDescent="0.25">
      <c r="A118" s="8" t="str">
        <f ca="1">IFERROR(__xludf.DUMMYFUNCTION("""COMPUTED_VALUE"""),"TA 48315/05")</f>
        <v>TA 48315/05</v>
      </c>
      <c r="B118" s="8" t="str">
        <f ca="1">IFERROR(__xludf.DUMMYFUNCTION("""COMPUTED_VALUE"""),"MR2 Zinc Coated Tanker")</f>
        <v>MR2 Zinc Coated Tanker</v>
      </c>
      <c r="C118" s="9">
        <f ca="1">IFERROR(__xludf.DUMMYFUNCTION("""COMPUTED_VALUE"""),48315)</f>
        <v>48315</v>
      </c>
      <c r="D118" s="8" t="str">
        <f ca="1">IFERROR(__xludf.DUMMYFUNCTION("""COMPUTED_VALUE"""),"2005-Japan")</f>
        <v>2005-Japan</v>
      </c>
      <c r="E118" s="8" t="str">
        <f ca="1">IFERROR(__xludf.DUMMYFUNCTION("""COMPUTED_VALUE"""),"186.00 x 32.23")</f>
        <v>186.00 x 32.23</v>
      </c>
      <c r="F118" s="8" t="str">
        <f ca="1">IFERROR(__xludf.DUMMYFUNCTION("""COMPUTED_VALUE"""),"14")</f>
        <v>14</v>
      </c>
      <c r="G118" s="8">
        <f ca="1">IFERROR(__xludf.DUMMYFUNCTION("""COMPUTED_VALUE"""),57916)</f>
        <v>57916</v>
      </c>
      <c r="H118" s="8" t="str">
        <f ca="1">IFERROR(__xludf.DUMMYFUNCTION("""COMPUTED_VALUE"""),"Y / Y Zinc")</f>
        <v>Y / Y Zinc</v>
      </c>
      <c r="I118" s="8" t="str">
        <f ca="1">IFERROR(__xludf.DUMMYFUNCTION("""COMPUTED_VALUE"""),"14 x 470")</f>
        <v>14 x 470</v>
      </c>
      <c r="J118" s="8" t="str">
        <f ca="1">IFERROR(__xludf.DUMMYFUNCTION("""COMPUTED_VALUE"""),"B&amp;W")</f>
        <v>B&amp;W</v>
      </c>
      <c r="K118" s="8" t="str">
        <f ca="1">IFERROR(__xludf.DUMMYFUNCTION("""COMPUTED_VALUE"""),"15k/34 t IFO")</f>
        <v>15k/34 t IFO</v>
      </c>
      <c r="L118" s="8" t="str">
        <f ca="1">IFERROR(__xludf.DUMMYFUNCTION("""COMPUTED_VALUE"""),"To be chkd")</f>
        <v>To be chkd</v>
      </c>
      <c r="M118" s="8" t="str">
        <f ca="1">IFERROR(__xludf.DUMMYFUNCTION("""COMPUTED_VALUE"""),"JMA Class")</f>
        <v>JMA Class</v>
      </c>
      <c r="N118" s="8" t="str">
        <f ca="1">IFERROR(__xludf.DUMMYFUNCTION("""COMPUTED_VALUE"""),"USG/Brazil")</f>
        <v>USG/Brazil</v>
      </c>
      <c r="O118" s="8" t="str">
        <f ca="1">IFERROR(__xludf.DUMMYFUNCTION("""COMPUTED_VALUE"""),"B.offers")</f>
        <v>B.offers</v>
      </c>
    </row>
    <row r="119" spans="1:15" ht="15.75" customHeight="1" x14ac:dyDescent="0.25">
      <c r="A119" s="8" t="str">
        <f ca="1">IFERROR(__xludf.DUMMYFUNCTION("""COMPUTED_VALUE"""),"TA 48045/09")</f>
        <v>TA 48045/09</v>
      </c>
      <c r="B119" s="8" t="str">
        <f ca="1">IFERROR(__xludf.DUMMYFUNCTION("""COMPUTED_VALUE"""),"MR2 CPP/Oil/Chem.Tanker")</f>
        <v>MR2 CPP/Oil/Chem.Tanker</v>
      </c>
      <c r="C119" s="9">
        <f ca="1">IFERROR(__xludf.DUMMYFUNCTION("""COMPUTED_VALUE"""),48045)</f>
        <v>48045</v>
      </c>
      <c r="D119" s="8" t="str">
        <f ca="1">IFERROR(__xludf.DUMMYFUNCTION("""COMPUTED_VALUE"""),"2009-Japan")</f>
        <v>2009-Japan</v>
      </c>
      <c r="E119" s="8" t="str">
        <f ca="1">IFERROR(__xludf.DUMMYFUNCTION("""COMPUTED_VALUE"""),"179.9 X 32.22")</f>
        <v>179.9 X 32.22</v>
      </c>
      <c r="F119" s="8" t="str">
        <f ca="1">IFERROR(__xludf.DUMMYFUNCTION("""COMPUTED_VALUE"""),"16")</f>
        <v>16</v>
      </c>
      <c r="G119" s="8">
        <f ca="1">IFERROR(__xludf.DUMMYFUNCTION("""COMPUTED_VALUE"""),53820)</f>
        <v>53820</v>
      </c>
      <c r="H119" s="8" t="str">
        <f ca="1">IFERROR(__xludf.DUMMYFUNCTION("""COMPUTED_VALUE"""),"N/Y Epoxy")</f>
        <v>N/Y Epoxy</v>
      </c>
      <c r="I119" s="8" t="str">
        <f ca="1">IFERROR(__xludf.DUMMYFUNCTION("""COMPUTED_VALUE"""),"4 x 1100")</f>
        <v>4 x 1100</v>
      </c>
      <c r="J119" s="8" t="str">
        <f ca="1">IFERROR(__xludf.DUMMYFUNCTION("""COMPUTED_VALUE"""),"MAN-B&amp;W")</f>
        <v>MAN-B&amp;W</v>
      </c>
      <c r="K119" s="8" t="str">
        <f ca="1">IFERROR(__xludf.DUMMYFUNCTION("""COMPUTED_VALUE"""),"13.5k/27 t IFO")</f>
        <v>13.5k/27 t IFO</v>
      </c>
      <c r="L119" s="8" t="str">
        <f ca="1">IFERROR(__xludf.DUMMYFUNCTION("""COMPUTED_VALUE"""),"Fitted")</f>
        <v>Fitted</v>
      </c>
      <c r="M119" s="8" t="str">
        <f ca="1">IFERROR(__xludf.DUMMYFUNCTION("""COMPUTED_VALUE"""),"NK 4/27D")</f>
        <v>NK 4/27D</v>
      </c>
      <c r="N119" s="8" t="str">
        <f ca="1">IFERROR(__xludf.DUMMYFUNCTION("""COMPUTED_VALUE"""),"Atlantic")</f>
        <v>Atlantic</v>
      </c>
      <c r="O119" s="8" t="str">
        <f ca="1">IFERROR(__xludf.DUMMYFUNCTION("""COMPUTED_VALUE"""),"B.offers")</f>
        <v>B.offers</v>
      </c>
    </row>
    <row r="120" spans="1:15" ht="15.75" customHeight="1" x14ac:dyDescent="0.25">
      <c r="A120" s="8" t="str">
        <f ca="1">IFERROR(__xludf.DUMMYFUNCTION("""COMPUTED_VALUE"""),"TA 47999/05")</f>
        <v>TA 47999/05</v>
      </c>
      <c r="B120" s="8" t="str">
        <f ca="1">IFERROR(__xludf.DUMMYFUNCTION("""COMPUTED_VALUE"""),"MR2 CPP Products Tanker")</f>
        <v>MR2 CPP Products Tanker</v>
      </c>
      <c r="C120" s="9">
        <f ca="1">IFERROR(__xludf.DUMMYFUNCTION("""COMPUTED_VALUE"""),47999)</f>
        <v>47999</v>
      </c>
      <c r="D120" s="8" t="str">
        <f ca="1">IFERROR(__xludf.DUMMYFUNCTION("""COMPUTED_VALUE"""),"2005-Japan")</f>
        <v>2005-Japan</v>
      </c>
      <c r="E120" s="8" t="str">
        <f ca="1">IFERROR(__xludf.DUMMYFUNCTION("""COMPUTED_VALUE"""),"179.9 x 32.20")</f>
        <v>179.9 x 32.20</v>
      </c>
      <c r="F120" s="8" t="str">
        <f ca="1">IFERROR(__xludf.DUMMYFUNCTION("""COMPUTED_VALUE"""),"16")</f>
        <v>16</v>
      </c>
      <c r="G120" s="8">
        <f ca="1">IFERROR(__xludf.DUMMYFUNCTION("""COMPUTED_VALUE"""),54754)</f>
        <v>54754</v>
      </c>
      <c r="H120" s="8" t="str">
        <f ca="1">IFERROR(__xludf.DUMMYFUNCTION("""COMPUTED_VALUE"""),"Y/Epoxy")</f>
        <v>Y/Epoxy</v>
      </c>
      <c r="I120" s="8" t="str">
        <f ca="1">IFERROR(__xludf.DUMMYFUNCTION("""COMPUTED_VALUE"""),"4 x 1250")</f>
        <v>4 x 1250</v>
      </c>
      <c r="J120" s="8" t="str">
        <f ca="1">IFERROR(__xludf.DUMMYFUNCTION("""COMPUTED_VALUE"""),"MAN-B&amp;W")</f>
        <v>MAN-B&amp;W</v>
      </c>
      <c r="K120" s="8" t="str">
        <f ca="1">IFERROR(__xludf.DUMMYFUNCTION("""COMPUTED_VALUE"""),"13 kn")</f>
        <v>13 kn</v>
      </c>
      <c r="L120" s="8" t="str">
        <f ca="1">IFERROR(__xludf.DUMMYFUNCTION("""COMPUTED_VALUE"""),"To be chkd")</f>
        <v>To be chkd</v>
      </c>
      <c r="M120" s="8" t="str">
        <f ca="1">IFERROR(__xludf.DUMMYFUNCTION("""COMPUTED_VALUE"""),"LR 8.28D")</f>
        <v>LR 8.28D</v>
      </c>
      <c r="N120" s="8" t="str">
        <f ca="1">IFERROR(__xludf.DUMMYFUNCTION("""COMPUTED_VALUE"""),"AG-Sgpor")</f>
        <v>AG-Sgpor</v>
      </c>
      <c r="O120" s="8" t="str">
        <f ca="1">IFERROR(__xludf.DUMMYFUNCTION("""COMPUTED_VALUE"""),"18.0 m")</f>
        <v>18.0 m</v>
      </c>
    </row>
    <row r="121" spans="1:15" ht="15.75" customHeight="1" x14ac:dyDescent="0.25">
      <c r="A121" s="8" t="str">
        <f ca="1">IFERROR(__xludf.DUMMYFUNCTION("""COMPUTED_VALUE"""),"TA 47962/10")</f>
        <v>TA 47962/10</v>
      </c>
      <c r="B121" s="8" t="str">
        <f ca="1">IFERROR(__xludf.DUMMYFUNCTION("""COMPUTED_VALUE"""),"MR2 Oil/Chemical Tanker")</f>
        <v>MR2 Oil/Chemical Tanker</v>
      </c>
      <c r="C121" s="9">
        <f ca="1">IFERROR(__xludf.DUMMYFUNCTION("""COMPUTED_VALUE"""),47962)</f>
        <v>47962</v>
      </c>
      <c r="D121" s="8" t="str">
        <f ca="1">IFERROR(__xludf.DUMMYFUNCTION("""COMPUTED_VALUE"""),"2010-Japan")</f>
        <v>2010-Japan</v>
      </c>
      <c r="E121" s="8" t="str">
        <f ca="1">IFERROR(__xludf.DUMMYFUNCTION("""COMPUTED_VALUE"""),"179.9 x 32.23")</f>
        <v>179.9 x 32.23</v>
      </c>
      <c r="F121" s="8" t="str">
        <f ca="1">IFERROR(__xludf.DUMMYFUNCTION("""COMPUTED_VALUE"""),"16")</f>
        <v>16</v>
      </c>
      <c r="G121" s="8">
        <f ca="1">IFERROR(__xludf.DUMMYFUNCTION("""COMPUTED_VALUE"""),52695)</f>
        <v>52695</v>
      </c>
      <c r="H121" s="8" t="str">
        <f ca="1">IFERROR(__xludf.DUMMYFUNCTION("""COMPUTED_VALUE"""),"Y/Y Epoxy")</f>
        <v>Y/Y Epoxy</v>
      </c>
      <c r="I121" s="8" t="str">
        <f ca="1">IFERROR(__xludf.DUMMYFUNCTION("""COMPUTED_VALUE"""),"4 pumps")</f>
        <v>4 pumps</v>
      </c>
      <c r="J121" s="8" t="str">
        <f ca="1">IFERROR(__xludf.DUMMYFUNCTION("""COMPUTED_VALUE"""),"MAN-B&amp;W")</f>
        <v>MAN-B&amp;W</v>
      </c>
      <c r="K121" s="8" t="str">
        <f ca="1">IFERROR(__xludf.DUMMYFUNCTION("""COMPUTED_VALUE"""),"-")</f>
        <v>-</v>
      </c>
      <c r="L121" s="8" t="str">
        <f ca="1">IFERROR(__xludf.DUMMYFUNCTION("""COMPUTED_VALUE"""),"To be chkd")</f>
        <v>To be chkd</v>
      </c>
      <c r="M121" s="8" t="str">
        <f ca="1">IFERROR(__xludf.DUMMYFUNCTION("""COMPUTED_VALUE"""),"IRS 11/25D")</f>
        <v>IRS 11/25D</v>
      </c>
      <c r="N121" s="8" t="str">
        <f ca="1">IFERROR(__xludf.DUMMYFUNCTION("""COMPUTED_VALUE"""),"Withdrawn")</f>
        <v>Withdrawn</v>
      </c>
      <c r="O121" s="8" t="str">
        <f ca="1">IFERROR(__xludf.DUMMYFUNCTION("""COMPUTED_VALUE"""),"Withdrawn")</f>
        <v>Withdrawn</v>
      </c>
    </row>
    <row r="122" spans="1:15" ht="15.75" customHeight="1" x14ac:dyDescent="0.25">
      <c r="A122" s="8" t="str">
        <f ca="1">IFERROR(__xludf.DUMMYFUNCTION("""COMPUTED_VALUE"""),"TA 47931/06")</f>
        <v>TA 47931/06</v>
      </c>
      <c r="B122" s="8" t="str">
        <f ca="1">IFERROR(__xludf.DUMMYFUNCTION("""COMPUTED_VALUE"""),"MR2 Methanol Tanker")</f>
        <v>MR2 Methanol Tanker</v>
      </c>
      <c r="C122" s="9">
        <f ca="1">IFERROR(__xludf.DUMMYFUNCTION("""COMPUTED_VALUE"""),47931)</f>
        <v>47931</v>
      </c>
      <c r="D122" s="8" t="str">
        <f ca="1">IFERROR(__xludf.DUMMYFUNCTION("""COMPUTED_VALUE"""),"2006-Japan")</f>
        <v>2006-Japan</v>
      </c>
      <c r="E122" s="8" t="str">
        <f ca="1">IFERROR(__xludf.DUMMYFUNCTION("""COMPUTED_VALUE"""),"185.93 x 32.20")</f>
        <v>185.93 x 32.20</v>
      </c>
      <c r="F122" s="8" t="str">
        <f ca="1">IFERROR(__xludf.DUMMYFUNCTION("""COMPUTED_VALUE"""),"14")</f>
        <v>14</v>
      </c>
      <c r="G122" s="8">
        <f ca="1">IFERROR(__xludf.DUMMYFUNCTION("""COMPUTED_VALUE"""),58449)</f>
        <v>58449</v>
      </c>
      <c r="H122" s="8" t="str">
        <f ca="1">IFERROR(__xludf.DUMMYFUNCTION("""COMPUTED_VALUE"""),"N/Y Zinc")</f>
        <v>N/Y Zinc</v>
      </c>
      <c r="I122" s="8" t="str">
        <f ca="1">IFERROR(__xludf.DUMMYFUNCTION("""COMPUTED_VALUE"""),"4 x 900 centr")</f>
        <v>4 x 900 centr</v>
      </c>
      <c r="J122" s="8" t="str">
        <f ca="1">IFERROR(__xludf.DUMMYFUNCTION("""COMPUTED_VALUE"""),"MAN-B&amp;W")</f>
        <v>MAN-B&amp;W</v>
      </c>
      <c r="K122" s="8" t="str">
        <f ca="1">IFERROR(__xludf.DUMMYFUNCTION("""COMPUTED_VALUE"""),"15.4k/40 t")</f>
        <v>15.4k/40 t</v>
      </c>
      <c r="L122" s="8" t="str">
        <f ca="1">IFERROR(__xludf.DUMMYFUNCTION("""COMPUTED_VALUE"""),"Fitted")</f>
        <v>Fitted</v>
      </c>
      <c r="M122" s="8" t="str">
        <f ca="1">IFERROR(__xludf.DUMMYFUNCTION("""COMPUTED_VALUE"""),"NK 1/26D")</f>
        <v>NK 1/26D</v>
      </c>
      <c r="N122" s="8" t="str">
        <f ca="1">IFERROR(__xludf.DUMMYFUNCTION("""COMPUTED_VALUE"""),"PG-S.Afr")</f>
        <v>PG-S.Afr</v>
      </c>
      <c r="O122" s="8" t="str">
        <f ca="1">IFERROR(__xludf.DUMMYFUNCTION("""COMPUTED_VALUE"""),"17.0 m")</f>
        <v>17.0 m</v>
      </c>
    </row>
    <row r="123" spans="1:15" ht="15.75" customHeight="1" x14ac:dyDescent="0.25">
      <c r="A123" s="8" t="str">
        <f ca="1">IFERROR(__xludf.DUMMYFUNCTION("""COMPUTED_VALUE"""),"TA 47848/07")</f>
        <v>TA 47848/07</v>
      </c>
      <c r="B123" s="8" t="str">
        <f ca="1">IFERROR(__xludf.DUMMYFUNCTION("""COMPUTED_VALUE"""),"MR2 Oil/Chemical/Methanol ")</f>
        <v xml:space="preserve">MR2 Oil/Chemical/Methanol </v>
      </c>
      <c r="C123" s="9">
        <f ca="1">IFERROR(__xludf.DUMMYFUNCTION("""COMPUTED_VALUE"""),47848)</f>
        <v>47848</v>
      </c>
      <c r="D123" s="8" t="str">
        <f ca="1">IFERROR(__xludf.DUMMYFUNCTION("""COMPUTED_VALUE"""),"2007-Korea")</f>
        <v>2007-Korea</v>
      </c>
      <c r="E123" s="8" t="str">
        <f ca="1">IFERROR(__xludf.DUMMYFUNCTION("""COMPUTED_VALUE"""),"183.00 x32.20")</f>
        <v>183.00 x32.20</v>
      </c>
      <c r="F123" s="8" t="str">
        <f ca="1">IFERROR(__xludf.DUMMYFUNCTION("""COMPUTED_VALUE"""),"14")</f>
        <v>14</v>
      </c>
      <c r="G123" s="8">
        <f ca="1">IFERROR(__xludf.DUMMYFUNCTION("""COMPUTED_VALUE"""),52148)</f>
        <v>52148</v>
      </c>
      <c r="H123" s="8" t="str">
        <f ca="1">IFERROR(__xludf.DUMMYFUNCTION("""COMPUTED_VALUE"""),"N/Y Epoxy")</f>
        <v>N/Y Epoxy</v>
      </c>
      <c r="I123" s="8" t="str">
        <f ca="1">IFERROR(__xludf.DUMMYFUNCTION("""COMPUTED_VALUE"""),"12 x 600")</f>
        <v>12 x 600</v>
      </c>
      <c r="J123" s="8" t="str">
        <f ca="1">IFERROR(__xludf.DUMMYFUNCTION("""COMPUTED_VALUE"""),"MAN-B&amp;W")</f>
        <v>MAN-B&amp;W</v>
      </c>
      <c r="K123" s="8" t="str">
        <f ca="1">IFERROR(__xludf.DUMMYFUNCTION("""COMPUTED_VALUE"""),"-")</f>
        <v>-</v>
      </c>
      <c r="L123" s="8" t="str">
        <f ca="1">IFERROR(__xludf.DUMMYFUNCTION("""COMPUTED_VALUE"""),"Fitted")</f>
        <v>Fitted</v>
      </c>
      <c r="M123" s="8" t="str">
        <f ca="1">IFERROR(__xludf.DUMMYFUNCTION("""COMPUTED_VALUE"""),"LR 10/27D")</f>
        <v>LR 10/27D</v>
      </c>
      <c r="N123" s="8" t="str">
        <f ca="1">IFERROR(__xludf.DUMMYFUNCTION("""COMPUTED_VALUE"""),"Fareast")</f>
        <v>Fareast</v>
      </c>
      <c r="O123" s="8" t="str">
        <f ca="1">IFERROR(__xludf.DUMMYFUNCTION("""COMPUTED_VALUE"""),"14.5 m")</f>
        <v>14.5 m</v>
      </c>
    </row>
    <row r="124" spans="1:15" ht="15.75" customHeight="1" x14ac:dyDescent="0.25">
      <c r="A124" s="8" t="str">
        <f ca="1">IFERROR(__xludf.DUMMYFUNCTION("""COMPUTED_VALUE"""),"TA 47803/04")</f>
        <v>TA 47803/04</v>
      </c>
      <c r="B124" s="8" t="str">
        <f ca="1">IFERROR(__xludf.DUMMYFUNCTION("""COMPUTED_VALUE"""),"MR2 CPP Products Tanker")</f>
        <v>MR2 CPP Products Tanker</v>
      </c>
      <c r="C124" s="9">
        <f ca="1">IFERROR(__xludf.DUMMYFUNCTION("""COMPUTED_VALUE"""),47803)</f>
        <v>47803</v>
      </c>
      <c r="D124" s="8" t="str">
        <f ca="1">IFERROR(__xludf.DUMMYFUNCTION("""COMPUTED_VALUE"""),"2004-Korea")</f>
        <v>2004-Korea</v>
      </c>
      <c r="E124" s="8" t="str">
        <f ca="1">IFERROR(__xludf.DUMMYFUNCTION("""COMPUTED_VALUE"""),"185.3 x 32.20")</f>
        <v>185.3 x 32.20</v>
      </c>
      <c r="F124" s="8" t="str">
        <f ca="1">IFERROR(__xludf.DUMMYFUNCTION("""COMPUTED_VALUE"""),"14")</f>
        <v>14</v>
      </c>
      <c r="G124" s="8">
        <f ca="1">IFERROR(__xludf.DUMMYFUNCTION("""COMPUTED_VALUE"""),49553)</f>
        <v>49553</v>
      </c>
      <c r="H124" s="8" t="str">
        <f ca="1">IFERROR(__xludf.DUMMYFUNCTION("""COMPUTED_VALUE"""),"N/Y Epoxy")</f>
        <v>N/Y Epoxy</v>
      </c>
      <c r="I124" s="8" t="str">
        <f ca="1">IFERROR(__xludf.DUMMYFUNCTION("""COMPUTED_VALUE"""),"12 x 600")</f>
        <v>12 x 600</v>
      </c>
      <c r="J124" s="8" t="str">
        <f ca="1">IFERROR(__xludf.DUMMYFUNCTION("""COMPUTED_VALUE"""),"MAN-B&amp;W")</f>
        <v>MAN-B&amp;W</v>
      </c>
      <c r="K124" s="8" t="str">
        <f ca="1">IFERROR(__xludf.DUMMYFUNCTION("""COMPUTED_VALUE"""),"14.5k/36 t")</f>
        <v>14.5k/36 t</v>
      </c>
      <c r="L124" s="8" t="str">
        <f ca="1">IFERROR(__xludf.DUMMYFUNCTION("""COMPUTED_VALUE"""),"Fitted")</f>
        <v>Fitted</v>
      </c>
      <c r="M124" s="8" t="str">
        <f ca="1">IFERROR(__xludf.DUMMYFUNCTION("""COMPUTED_VALUE"""),"LR 3/29D")</f>
        <v>LR 3/29D</v>
      </c>
      <c r="N124" s="8" t="str">
        <f ca="1">IFERROR(__xludf.DUMMYFUNCTION("""COMPUTED_VALUE"""),"Trading UAE")</f>
        <v>Trading UAE</v>
      </c>
      <c r="O124" s="8" t="str">
        <f ca="1">IFERROR(__xludf.DUMMYFUNCTION("""COMPUTED_VALUE"""),"B.offers")</f>
        <v>B.offers</v>
      </c>
    </row>
    <row r="125" spans="1:15" ht="15.75" customHeight="1" x14ac:dyDescent="0.25">
      <c r="A125" s="8" t="str">
        <f ca="1">IFERROR(__xludf.DUMMYFUNCTION("""COMPUTED_VALUE"""),"TA 47499/19")</f>
        <v>TA 47499/19</v>
      </c>
      <c r="B125" s="8" t="str">
        <f ca="1">IFERROR(__xludf.DUMMYFUNCTION("""COMPUTED_VALUE"""),"MR2 CPP Modern ECO Tanker")</f>
        <v>MR2 CPP Modern ECO Tanker</v>
      </c>
      <c r="C125" s="9">
        <f ca="1">IFERROR(__xludf.DUMMYFUNCTION("""COMPUTED_VALUE"""),47499)</f>
        <v>47499</v>
      </c>
      <c r="D125" s="8" t="str">
        <f ca="1">IFERROR(__xludf.DUMMYFUNCTION("""COMPUTED_VALUE"""),"2019-Vietnam")</f>
        <v>2019-Vietnam</v>
      </c>
      <c r="E125" s="8" t="str">
        <f ca="1">IFERROR(__xludf.DUMMYFUNCTION("""COMPUTED_VALUE"""),"183.0 x 32.20")</f>
        <v>183.0 x 32.20</v>
      </c>
      <c r="F125" s="8" t="str">
        <f ca="1">IFERROR(__xludf.DUMMYFUNCTION("""COMPUTED_VALUE"""),"12")</f>
        <v>12</v>
      </c>
      <c r="G125" s="8" t="str">
        <f ca="1">IFERROR(__xludf.DUMMYFUNCTION("""COMPUTED_VALUE"""),"-")</f>
        <v>-</v>
      </c>
      <c r="H125" s="8" t="str">
        <f ca="1">IFERROR(__xludf.DUMMYFUNCTION("""COMPUTED_VALUE"""),"N/Y Epoxy")</f>
        <v>N/Y Epoxy</v>
      </c>
      <c r="I125" s="8" t="str">
        <f ca="1">IFERROR(__xludf.DUMMYFUNCTION("""COMPUTED_VALUE"""),"12 x 600")</f>
        <v>12 x 600</v>
      </c>
      <c r="J125" s="8" t="str">
        <f ca="1">IFERROR(__xludf.DUMMYFUNCTION("""COMPUTED_VALUE"""),"MAN-B&amp;W")</f>
        <v>MAN-B&amp;W</v>
      </c>
      <c r="K125" s="8" t="str">
        <f ca="1">IFERROR(__xludf.DUMMYFUNCTION("""COMPUTED_VALUE"""),"-")</f>
        <v>-</v>
      </c>
      <c r="L125" s="8" t="str">
        <f ca="1">IFERROR(__xludf.DUMMYFUNCTION("""COMPUTED_VALUE"""),"Scrubber Fitted")</f>
        <v>Scrubber Fitted</v>
      </c>
      <c r="M125" s="8" t="str">
        <f ca="1">IFERROR(__xludf.DUMMYFUNCTION("""COMPUTED_VALUE"""),"AB 1/29D")</f>
        <v>AB 1/29D</v>
      </c>
      <c r="N125" s="8" t="str">
        <f ca="1">IFERROR(__xludf.DUMMYFUNCTION("""COMPUTED_VALUE"""),"On T/C")</f>
        <v>On T/C</v>
      </c>
      <c r="O125" s="8" t="str">
        <f ca="1">IFERROR(__xludf.DUMMYFUNCTION("""COMPUTED_VALUE"""),"B.offers")</f>
        <v>B.offers</v>
      </c>
    </row>
    <row r="126" spans="1:15" ht="15.75" customHeight="1" x14ac:dyDescent="0.25">
      <c r="A126" s="8" t="str">
        <f ca="1">IFERROR(__xludf.DUMMYFUNCTION("""COMPUTED_VALUE"""),"TA  47409/09")</f>
        <v>TA  47409/09</v>
      </c>
      <c r="B126" s="8" t="str">
        <f ca="1">IFERROR(__xludf.DUMMYFUNCTION("""COMPUTED_VALUE"""),"MR2 CPP Products Tanker")</f>
        <v>MR2 CPP Products Tanker</v>
      </c>
      <c r="C126" s="9">
        <f ca="1">IFERROR(__xludf.DUMMYFUNCTION("""COMPUTED_VALUE"""),47409)</f>
        <v>47409</v>
      </c>
      <c r="D126" s="8" t="str">
        <f ca="1">IFERROR(__xludf.DUMMYFUNCTION("""COMPUTED_VALUE"""),"2009-Japan")</f>
        <v>2009-Japan</v>
      </c>
      <c r="E126" s="8" t="str">
        <f ca="1">IFERROR(__xludf.DUMMYFUNCTION("""COMPUTED_VALUE"""),"182.5 X 32.20")</f>
        <v>182.5 X 32.20</v>
      </c>
      <c r="F126" s="8" t="str">
        <f ca="1">IFERROR(__xludf.DUMMYFUNCTION("""COMPUTED_VALUE"""),"15")</f>
        <v>15</v>
      </c>
      <c r="G126" s="8">
        <f ca="1">IFERROR(__xludf.DUMMYFUNCTION("""COMPUTED_VALUE"""),50530)</f>
        <v>50530</v>
      </c>
      <c r="H126" s="8" t="str">
        <f ca="1">IFERROR(__xludf.DUMMYFUNCTION("""COMPUTED_VALUE"""),"Y/Y Epoxy")</f>
        <v>Y/Y Epoxy</v>
      </c>
      <c r="I126" s="8" t="str">
        <f ca="1">IFERROR(__xludf.DUMMYFUNCTION("""COMPUTED_VALUE"""),"4 x 1000")</f>
        <v>4 x 1000</v>
      </c>
      <c r="J126" s="8" t="str">
        <f ca="1">IFERROR(__xludf.DUMMYFUNCTION("""COMPUTED_VALUE"""),"MAN-B&amp;W")</f>
        <v>MAN-B&amp;W</v>
      </c>
      <c r="K126" s="8" t="str">
        <f ca="1">IFERROR(__xludf.DUMMYFUNCTION("""COMPUTED_VALUE"""),"14 k/29 t IFO")</f>
        <v>14 k/29 t IFO</v>
      </c>
      <c r="L126" s="8" t="str">
        <f ca="1">IFERROR(__xludf.DUMMYFUNCTION("""COMPUTED_VALUE"""),"Fitted")</f>
        <v>Fitted</v>
      </c>
      <c r="M126" s="8" t="str">
        <f ca="1">IFERROR(__xludf.DUMMYFUNCTION("""COMPUTED_VALUE"""),"BV 4/29D")</f>
        <v>BV 4/29D</v>
      </c>
      <c r="N126" s="8" t="str">
        <f ca="1">IFERROR(__xludf.DUMMYFUNCTION("""COMPUTED_VALUE"""),"India")</f>
        <v>India</v>
      </c>
      <c r="O126" s="8" t="str">
        <f ca="1">IFERROR(__xludf.DUMMYFUNCTION("""COMPUTED_VALUE"""),"B.offers")</f>
        <v>B.offers</v>
      </c>
    </row>
    <row r="127" spans="1:15" ht="15.75" customHeight="1" x14ac:dyDescent="0.25">
      <c r="A127" s="8" t="str">
        <f ca="1">IFERROR(__xludf.DUMMYFUNCTION("""COMPUTED_VALUE"""),"TA 47377/10")</f>
        <v>TA 47377/10</v>
      </c>
      <c r="B127" s="8" t="str">
        <f ca="1">IFERROR(__xludf.DUMMYFUNCTION("""COMPUTED_VALUE"""),"Clean MR2 Tanker")</f>
        <v>Clean MR2 Tanker</v>
      </c>
      <c r="C127" s="9">
        <f ca="1">IFERROR(__xludf.DUMMYFUNCTION("""COMPUTED_VALUE"""),47377)</f>
        <v>47377</v>
      </c>
      <c r="D127" s="8" t="str">
        <f ca="1">IFERROR(__xludf.DUMMYFUNCTION("""COMPUTED_VALUE"""),"2010-Japan")</f>
        <v>2010-Japan</v>
      </c>
      <c r="E127" s="8" t="str">
        <f ca="1">IFERROR(__xludf.DUMMYFUNCTION("""COMPUTED_VALUE"""),"182.5 x 32.20")</f>
        <v>182.5 x 32.20</v>
      </c>
      <c r="F127" s="8" t="str">
        <f ca="1">IFERROR(__xludf.DUMMYFUNCTION("""COMPUTED_VALUE"""),"15")</f>
        <v>15</v>
      </c>
      <c r="G127" s="8">
        <f ca="1">IFERROR(__xludf.DUMMYFUNCTION("""COMPUTED_VALUE"""),50529)</f>
        <v>50529</v>
      </c>
      <c r="H127" s="8" t="str">
        <f ca="1">IFERROR(__xludf.DUMMYFUNCTION("""COMPUTED_VALUE"""),"Y/Y Epoxy")</f>
        <v>Y/Y Epoxy</v>
      </c>
      <c r="I127" s="8" t="str">
        <f ca="1">IFERROR(__xludf.DUMMYFUNCTION("""COMPUTED_VALUE"""),"4 x 1000")</f>
        <v>4 x 1000</v>
      </c>
      <c r="J127" s="8" t="str">
        <f ca="1">IFERROR(__xludf.DUMMYFUNCTION("""COMPUTED_VALUE"""),"MAN-B&amp;W")</f>
        <v>MAN-B&amp;W</v>
      </c>
      <c r="K127" s="8" t="str">
        <f ca="1">IFERROR(__xludf.DUMMYFUNCTION("""COMPUTED_VALUE"""),"-")</f>
        <v>-</v>
      </c>
      <c r="L127" s="8" t="str">
        <f ca="1">IFERROR(__xludf.DUMMYFUNCTION("""COMPUTED_VALUE"""),"Fitted")</f>
        <v>Fitted</v>
      </c>
      <c r="M127" s="8" t="str">
        <f ca="1">IFERROR(__xludf.DUMMYFUNCTION("""COMPUTED_VALUE"""),"AB 9/24P")</f>
        <v>AB 9/24P</v>
      </c>
      <c r="N127" s="8" t="str">
        <f ca="1">IFERROR(__xludf.DUMMYFUNCTION("""COMPUTED_VALUE"""),"B.Sea/Waf")</f>
        <v>B.Sea/Waf</v>
      </c>
      <c r="O127" s="8" t="str">
        <f ca="1">IFERROR(__xludf.DUMMYFUNCTION("""COMPUTED_VALUE"""),"B.offers")</f>
        <v>B.offers</v>
      </c>
    </row>
    <row r="128" spans="1:15" ht="15.75" customHeight="1" x14ac:dyDescent="0.25">
      <c r="A128" s="8" t="str">
        <f ca="1">IFERROR(__xludf.DUMMYFUNCTION("""COMPUTED_VALUE"""),"TA 47326/05")</f>
        <v>TA 47326/05</v>
      </c>
      <c r="B128" s="8" t="str">
        <f ca="1">IFERROR(__xludf.DUMMYFUNCTION("""COMPUTED_VALUE"""),"MR2 Products Tanker")</f>
        <v>MR2 Products Tanker</v>
      </c>
      <c r="C128" s="9">
        <f ca="1">IFERROR(__xludf.DUMMYFUNCTION("""COMPUTED_VALUE"""),47326)</f>
        <v>47326</v>
      </c>
      <c r="D128" s="8" t="str">
        <f ca="1">IFERROR(__xludf.DUMMYFUNCTION("""COMPUTED_VALUE"""),"2005-Japan")</f>
        <v>2005-Japan</v>
      </c>
      <c r="E128" s="8" t="str">
        <f ca="1">IFERROR(__xludf.DUMMYFUNCTION("""COMPUTED_VALUE"""),"182.5 x 32.23")</f>
        <v>182.5 x 32.23</v>
      </c>
      <c r="F128" s="8" t="str">
        <f ca="1">IFERROR(__xludf.DUMMYFUNCTION("""COMPUTED_VALUE"""),"14")</f>
        <v>14</v>
      </c>
      <c r="G128" s="8">
        <f ca="1">IFERROR(__xludf.DUMMYFUNCTION("""COMPUTED_VALUE"""),52629)</f>
        <v>52629</v>
      </c>
      <c r="H128" s="8" t="str">
        <f ca="1">IFERROR(__xludf.DUMMYFUNCTION("""COMPUTED_VALUE"""),"Y/Y Epoxy")</f>
        <v>Y/Y Epoxy</v>
      </c>
      <c r="I128" s="8" t="str">
        <f ca="1">IFERROR(__xludf.DUMMYFUNCTION("""COMPUTED_VALUE"""),"4 X 1000")</f>
        <v>4 X 1000</v>
      </c>
      <c r="J128" s="8" t="str">
        <f ca="1">IFERROR(__xludf.DUMMYFUNCTION("""COMPUTED_VALUE"""),"MAN-B&amp;W")</f>
        <v>MAN-B&amp;W</v>
      </c>
      <c r="K128" s="8" t="str">
        <f ca="1">IFERROR(__xludf.DUMMYFUNCTION("""COMPUTED_VALUE"""),"15.3k/29 t IFO")</f>
        <v>15.3k/29 t IFO</v>
      </c>
      <c r="L128" s="8" t="str">
        <f ca="1">IFERROR(__xludf.DUMMYFUNCTION("""COMPUTED_VALUE"""),"Fitted")</f>
        <v>Fitted</v>
      </c>
      <c r="M128" s="8" t="str">
        <f ca="1">IFERROR(__xludf.DUMMYFUNCTION("""COMPUTED_VALUE"""),"NV 7/25D")</f>
        <v>NV 7/25D</v>
      </c>
      <c r="N128" s="10" t="str">
        <f ca="1">IFERROR(__xludf.DUMMYFUNCTION("""COMPUTED_VALUE"""),"SE.Asia")</f>
        <v>SE.Asia</v>
      </c>
      <c r="O128" s="8" t="str">
        <f ca="1">IFERROR(__xludf.DUMMYFUNCTION("""COMPUTED_VALUE"""),"12.75 m")</f>
        <v>12.75 m</v>
      </c>
    </row>
    <row r="129" spans="1:15" ht="15.75" customHeight="1" x14ac:dyDescent="0.25">
      <c r="A129" s="8" t="str">
        <f ca="1">IFERROR(__xludf.DUMMYFUNCTION("""COMPUTED_VALUE"""),"TA 47199/03")</f>
        <v>TA 47199/03</v>
      </c>
      <c r="B129" s="8" t="str">
        <f ca="1">IFERROR(__xludf.DUMMYFUNCTION("""COMPUTED_VALUE"""),"MR2 Oil/Chem Tanker")</f>
        <v>MR2 Oil/Chem Tanker</v>
      </c>
      <c r="C129" s="9">
        <f ca="1">IFERROR(__xludf.DUMMYFUNCTION("""COMPUTED_VALUE"""),47199)</f>
        <v>47199</v>
      </c>
      <c r="D129" s="8" t="str">
        <f ca="1">IFERROR(__xludf.DUMMYFUNCTION("""COMPUTED_VALUE"""),"2003-Russia")</f>
        <v>2003-Russia</v>
      </c>
      <c r="E129" s="8" t="str">
        <f ca="1">IFERROR(__xludf.DUMMYFUNCTION("""COMPUTED_VALUE"""),"182.28 x 32.20")</f>
        <v>182.28 x 32.20</v>
      </c>
      <c r="F129" s="8" t="str">
        <f ca="1">IFERROR(__xludf.DUMMYFUNCTION("""COMPUTED_VALUE"""),"12")</f>
        <v>12</v>
      </c>
      <c r="G129" s="8">
        <f ca="1">IFERROR(__xludf.DUMMYFUNCTION("""COMPUTED_VALUE"""),51910)</f>
        <v>51910</v>
      </c>
      <c r="H129" s="8" t="str">
        <f ca="1">IFERROR(__xludf.DUMMYFUNCTION("""COMPUTED_VALUE"""),"N/Y Epoxy")</f>
        <v>N/Y Epoxy</v>
      </c>
      <c r="I129" s="8" t="str">
        <f ca="1">IFERROR(__xludf.DUMMYFUNCTION("""COMPUTED_VALUE"""),"10 x 550")</f>
        <v>10 x 550</v>
      </c>
      <c r="J129" s="8" t="str">
        <f ca="1">IFERROR(__xludf.DUMMYFUNCTION("""COMPUTED_VALUE"""),"B&amp;W")</f>
        <v>B&amp;W</v>
      </c>
      <c r="K129" s="8" t="str">
        <f ca="1">IFERROR(__xludf.DUMMYFUNCTION("""COMPUTED_VALUE"""),"14.3 kn")</f>
        <v>14.3 kn</v>
      </c>
      <c r="L129" s="8" t="str">
        <f ca="1">IFERROR(__xludf.DUMMYFUNCTION("""COMPUTED_VALUE"""),"Fitted")</f>
        <v>Fitted</v>
      </c>
      <c r="M129" s="8" t="str">
        <f ca="1">IFERROR(__xludf.DUMMYFUNCTION("""COMPUTED_VALUE"""),"IR 11/28D")</f>
        <v>IR 11/28D</v>
      </c>
      <c r="N129" s="8" t="str">
        <f ca="1">IFERROR(__xludf.DUMMYFUNCTION("""COMPUTED_VALUE"""),"Black Sea")</f>
        <v>Black Sea</v>
      </c>
      <c r="O129" s="8" t="str">
        <f ca="1">IFERROR(__xludf.DUMMYFUNCTION("""COMPUTED_VALUE"""),"B.offers")</f>
        <v>B.offers</v>
      </c>
    </row>
    <row r="130" spans="1:15" ht="15.75" customHeight="1" x14ac:dyDescent="0.25">
      <c r="A130" s="8" t="str">
        <f ca="1">IFERROR(__xludf.DUMMYFUNCTION("""COMPUTED_VALUE"""),"TA 47199/04")</f>
        <v>TA 47199/04</v>
      </c>
      <c r="B130" s="8" t="str">
        <f ca="1">IFERROR(__xludf.DUMMYFUNCTION("""COMPUTED_VALUE"""),"MR2 Oil/Chem DPP Tanker")</f>
        <v>MR2 Oil/Chem DPP Tanker</v>
      </c>
      <c r="C130" s="9">
        <f ca="1">IFERROR(__xludf.DUMMYFUNCTION("""COMPUTED_VALUE"""),47199)</f>
        <v>47199</v>
      </c>
      <c r="D130" s="8" t="str">
        <f ca="1">IFERROR(__xludf.DUMMYFUNCTION("""COMPUTED_VALUE"""),"2004-Russia")</f>
        <v>2004-Russia</v>
      </c>
      <c r="E130" s="8" t="str">
        <f ca="1">IFERROR(__xludf.DUMMYFUNCTION("""COMPUTED_VALUE"""),"182.28 x 32.20")</f>
        <v>182.28 x 32.20</v>
      </c>
      <c r="F130" s="8" t="str">
        <f ca="1">IFERROR(__xludf.DUMMYFUNCTION("""COMPUTED_VALUE"""),"12")</f>
        <v>12</v>
      </c>
      <c r="G130" s="8">
        <f ca="1">IFERROR(__xludf.DUMMYFUNCTION("""COMPUTED_VALUE"""),53146)</f>
        <v>53146</v>
      </c>
      <c r="H130" s="8" t="str">
        <f ca="1">IFERROR(__xludf.DUMMYFUNCTION("""COMPUTED_VALUE"""),"Y Heat ex/Y Epo")</f>
        <v>Y Heat ex/Y Epo</v>
      </c>
      <c r="I130" s="8" t="str">
        <f ca="1">IFERROR(__xludf.DUMMYFUNCTION("""COMPUTED_VALUE"""),"10 x 550")</f>
        <v>10 x 550</v>
      </c>
      <c r="J130" s="8" t="str">
        <f ca="1">IFERROR(__xludf.DUMMYFUNCTION("""COMPUTED_VALUE"""),"B&amp;W")</f>
        <v>B&amp;W</v>
      </c>
      <c r="K130" s="8" t="str">
        <f ca="1">IFERROR(__xludf.DUMMYFUNCTION("""COMPUTED_VALUE"""),"14.3 kn")</f>
        <v>14.3 kn</v>
      </c>
      <c r="L130" s="8" t="str">
        <f ca="1">IFERROR(__xludf.DUMMYFUNCTION("""COMPUTED_VALUE"""),"Fitted")</f>
        <v>Fitted</v>
      </c>
      <c r="M130" s="8" t="str">
        <f ca="1">IFERROR(__xludf.DUMMYFUNCTION("""COMPUTED_VALUE"""),"NV 4/29D")</f>
        <v>NV 4/29D</v>
      </c>
      <c r="N130" s="8" t="str">
        <f ca="1">IFERROR(__xludf.DUMMYFUNCTION("""COMPUTED_VALUE"""),"Singapore")</f>
        <v>Singapore</v>
      </c>
      <c r="O130" s="8" t="str">
        <f ca="1">IFERROR(__xludf.DUMMYFUNCTION("""COMPUTED_VALUE"""),"B.offers")</f>
        <v>B.offers</v>
      </c>
    </row>
    <row r="131" spans="1:15" ht="15.75" customHeight="1" x14ac:dyDescent="0.25">
      <c r="A131" s="8" t="str">
        <f ca="1">IFERROR(__xludf.DUMMYFUNCTION("""COMPUTED_VALUE"""),"TA 47128/08")</f>
        <v>TA 47128/08</v>
      </c>
      <c r="B131" s="8" t="str">
        <f ca="1">IFERROR(__xludf.DUMMYFUNCTION("""COMPUTED_VALUE"""),"MR2 Chem/Pr/IMO 2+3 Tanker")</f>
        <v>MR2 Chem/Pr/IMO 2+3 Tanker</v>
      </c>
      <c r="C131" s="9">
        <f ca="1">IFERROR(__xludf.DUMMYFUNCTION("""COMPUTED_VALUE"""),47128)</f>
        <v>47128</v>
      </c>
      <c r="D131" s="8" t="str">
        <f ca="1">IFERROR(__xludf.DUMMYFUNCTION("""COMPUTED_VALUE"""),"2008-Korea")</f>
        <v>2008-Korea</v>
      </c>
      <c r="E131" s="8" t="str">
        <f ca="1">IFERROR(__xludf.DUMMYFUNCTION("""COMPUTED_VALUE"""),"183.2 x 32.20")</f>
        <v>183.2 x 32.20</v>
      </c>
      <c r="F131" s="8" t="str">
        <f ca="1">IFERROR(__xludf.DUMMYFUNCTION("""COMPUTED_VALUE"""),"12")</f>
        <v>12</v>
      </c>
      <c r="G131" s="8">
        <f ca="1">IFERROR(__xludf.DUMMYFUNCTION("""COMPUTED_VALUE"""),52965)</f>
        <v>52965</v>
      </c>
      <c r="H131" s="8" t="str">
        <f ca="1">IFERROR(__xludf.DUMMYFUNCTION("""COMPUTED_VALUE"""),"Y stst/Y Epoxy")</f>
        <v>Y stst/Y Epoxy</v>
      </c>
      <c r="I131" s="8" t="str">
        <f ca="1">IFERROR(__xludf.DUMMYFUNCTION("""COMPUTED_VALUE"""),"12 X 600")</f>
        <v>12 X 600</v>
      </c>
      <c r="J131" s="8" t="str">
        <f ca="1">IFERROR(__xludf.DUMMYFUNCTION("""COMPUTED_VALUE"""),"MAN-B&amp;W")</f>
        <v>MAN-B&amp;W</v>
      </c>
      <c r="K131" s="8" t="str">
        <f ca="1">IFERROR(__xludf.DUMMYFUNCTION("""COMPUTED_VALUE"""),"-")</f>
        <v>-</v>
      </c>
      <c r="L131" s="8" t="str">
        <f ca="1">IFERROR(__xludf.DUMMYFUNCTION("""COMPUTED_VALUE"""),"Fitted")</f>
        <v>Fitted</v>
      </c>
      <c r="M131" s="8" t="str">
        <f ca="1">IFERROR(__xludf.DUMMYFUNCTION("""COMPUTED_VALUE"""),"AB 12.28D")</f>
        <v>AB 12.28D</v>
      </c>
      <c r="N131" s="8" t="str">
        <f ca="1">IFERROR(__xludf.DUMMYFUNCTION("""COMPUTED_VALUE"""),"PG-Pakist")</f>
        <v>PG-Pakist</v>
      </c>
      <c r="O131" s="8" t="str">
        <f ca="1">IFERROR(__xludf.DUMMYFUNCTION("""COMPUTED_VALUE"""),"B.offers")</f>
        <v>B.offers</v>
      </c>
    </row>
    <row r="132" spans="1:15" ht="15.75" customHeight="1" x14ac:dyDescent="0.25">
      <c r="A132" s="8" t="str">
        <f ca="1">IFERROR(__xludf.DUMMYFUNCTION("""COMPUTED_VALUE"""),"TA 47097/08")</f>
        <v>TA 47097/08</v>
      </c>
      <c r="B132" s="8" t="str">
        <f ca="1">IFERROR(__xludf.DUMMYFUNCTION("""COMPUTED_VALUE"""),"MR2 Chem/Prods IMO 3 Tanker")</f>
        <v>MR2 Chem/Prods IMO 3 Tanker</v>
      </c>
      <c r="C132" s="9">
        <f ca="1">IFERROR(__xludf.DUMMYFUNCTION("""COMPUTED_VALUE"""),47097)</f>
        <v>47097</v>
      </c>
      <c r="D132" s="8" t="str">
        <f ca="1">IFERROR(__xludf.DUMMYFUNCTION("""COMPUTED_VALUE"""),"2008-Korea")</f>
        <v>2008-Korea</v>
      </c>
      <c r="E132" s="8" t="str">
        <f ca="1">IFERROR(__xludf.DUMMYFUNCTION("""COMPUTED_VALUE"""),"183.2 x 32.20")</f>
        <v>183.2 x 32.20</v>
      </c>
      <c r="F132" s="8" t="str">
        <f ca="1">IFERROR(__xludf.DUMMYFUNCTION("""COMPUTED_VALUE"""),"14")</f>
        <v>14</v>
      </c>
      <c r="G132" s="8">
        <f ca="1">IFERROR(__xludf.DUMMYFUNCTION("""COMPUTED_VALUE"""),51921)</f>
        <v>51921</v>
      </c>
      <c r="H132" s="8" t="str">
        <f ca="1">IFERROR(__xludf.DUMMYFUNCTION("""COMPUTED_VALUE"""),"Y/Y Epoxy")</f>
        <v>Y/Y Epoxy</v>
      </c>
      <c r="I132" s="8" t="str">
        <f ca="1">IFERROR(__xludf.DUMMYFUNCTION("""COMPUTED_VALUE"""),"12 x 600")</f>
        <v>12 x 600</v>
      </c>
      <c r="J132" s="8" t="str">
        <f ca="1">IFERROR(__xludf.DUMMYFUNCTION("""COMPUTED_VALUE"""),"MAN-B&amp;W")</f>
        <v>MAN-B&amp;W</v>
      </c>
      <c r="K132" s="8" t="str">
        <f ca="1">IFERROR(__xludf.DUMMYFUNCTION("""COMPUTED_VALUE"""),"14.5kn")</f>
        <v>14.5kn</v>
      </c>
      <c r="L132" s="8" t="str">
        <f ca="1">IFERROR(__xludf.DUMMYFUNCTION("""COMPUTED_VALUE"""),"Fitted")</f>
        <v>Fitted</v>
      </c>
      <c r="M132" s="8" t="str">
        <f ca="1">IFERROR(__xludf.DUMMYFUNCTION("""COMPUTED_VALUE"""),"AB 7/28D")</f>
        <v>AB 7/28D</v>
      </c>
      <c r="N132" s="8" t="str">
        <f ca="1">IFERROR(__xludf.DUMMYFUNCTION("""COMPUTED_VALUE"""),"China")</f>
        <v>China</v>
      </c>
      <c r="O132" s="8" t="str">
        <f ca="1">IFERROR(__xludf.DUMMYFUNCTION("""COMPUTED_VALUE"""),"B.offers")</f>
        <v>B.offers</v>
      </c>
    </row>
    <row r="133" spans="1:15" ht="15.75" customHeight="1" x14ac:dyDescent="0.25">
      <c r="A133" s="8" t="str">
        <f ca="1">IFERROR(__xludf.DUMMYFUNCTION("""COMPUTED_VALUE"""),"TA 46894/07")</f>
        <v>TA 46894/07</v>
      </c>
      <c r="B133" s="8" t="str">
        <f ca="1">IFERROR(__xludf.DUMMYFUNCTION("""COMPUTED_VALUE"""),"MR2 Chem/Prods IMO 3 Tanker")</f>
        <v>MR2 Chem/Prods IMO 3 Tanker</v>
      </c>
      <c r="C133" s="9">
        <f ca="1">IFERROR(__xludf.DUMMYFUNCTION("""COMPUTED_VALUE"""),46894)</f>
        <v>46894</v>
      </c>
      <c r="D133" s="8" t="str">
        <f ca="1">IFERROR(__xludf.DUMMYFUNCTION("""COMPUTED_VALUE"""),"2007-Korea")</f>
        <v>2007-Korea</v>
      </c>
      <c r="E133" s="8" t="str">
        <f ca="1">IFERROR(__xludf.DUMMYFUNCTION("""COMPUTED_VALUE"""),"183.2 x 32.20")</f>
        <v>183.2 x 32.20</v>
      </c>
      <c r="F133" s="8" t="str">
        <f ca="1">IFERROR(__xludf.DUMMYFUNCTION("""COMPUTED_VALUE"""),"14")</f>
        <v>14</v>
      </c>
      <c r="G133" s="8">
        <f ca="1">IFERROR(__xludf.DUMMYFUNCTION("""COMPUTED_VALUE"""),51909)</f>
        <v>51909</v>
      </c>
      <c r="H133" s="8" t="str">
        <f ca="1">IFERROR(__xludf.DUMMYFUNCTION("""COMPUTED_VALUE"""),"N/Y Zinc Silicate")</f>
        <v>N/Y Zinc Silicate</v>
      </c>
      <c r="I133" s="8" t="str">
        <f ca="1">IFERROR(__xludf.DUMMYFUNCTION("""COMPUTED_VALUE"""),"12 x 600")</f>
        <v>12 x 600</v>
      </c>
      <c r="J133" s="8" t="str">
        <f ca="1">IFERROR(__xludf.DUMMYFUNCTION("""COMPUTED_VALUE"""),"Wartsila")</f>
        <v>Wartsila</v>
      </c>
      <c r="K133" s="8" t="str">
        <f ca="1">IFERROR(__xludf.DUMMYFUNCTION("""COMPUTED_VALUE"""),"-")</f>
        <v>-</v>
      </c>
      <c r="L133" s="8" t="str">
        <f ca="1">IFERROR(__xludf.DUMMYFUNCTION("""COMPUTED_VALUE"""),"To be chkd")</f>
        <v>To be chkd</v>
      </c>
      <c r="M133" s="8" t="str">
        <f ca="1">IFERROR(__xludf.DUMMYFUNCTION("""COMPUTED_VALUE"""),"LR 1/27D")</f>
        <v>LR 1/27D</v>
      </c>
      <c r="N133" s="8" t="str">
        <f ca="1">IFERROR(__xludf.DUMMYFUNCTION("""COMPUTED_VALUE"""),"Check")</f>
        <v>Check</v>
      </c>
      <c r="O133" s="8" t="str">
        <f ca="1">IFERROR(__xludf.DUMMYFUNCTION("""COMPUTED_VALUE"""),"B.offers")</f>
        <v>B.offers</v>
      </c>
    </row>
    <row r="134" spans="1:15" ht="15.75" customHeight="1" x14ac:dyDescent="0.25">
      <c r="A134" s="8" t="str">
        <f ca="1">IFERROR(__xludf.DUMMYFUNCTION("""COMPUTED_VALUE"""),"TA 46858/07")</f>
        <v>TA 46858/07</v>
      </c>
      <c r="B134" s="8" t="str">
        <f ca="1">IFERROR(__xludf.DUMMYFUNCTION("""COMPUTED_VALUE"""),"MR2 Chem/Pr/IMO 2 Tanker")</f>
        <v>MR2 Chem/Pr/IMO 2 Tanker</v>
      </c>
      <c r="C134" s="9">
        <f ca="1">IFERROR(__xludf.DUMMYFUNCTION("""COMPUTED_VALUE"""),46858)</f>
        <v>46858</v>
      </c>
      <c r="D134" s="8" t="str">
        <f ca="1">IFERROR(__xludf.DUMMYFUNCTION("""COMPUTED_VALUE"""),"2007-Korea")</f>
        <v>2007-Korea</v>
      </c>
      <c r="E134" s="8" t="str">
        <f ca="1">IFERROR(__xludf.DUMMYFUNCTION("""COMPUTED_VALUE"""),"183.0 x 32.20")</f>
        <v>183.0 x 32.20</v>
      </c>
      <c r="F134" s="8" t="str">
        <f ca="1">IFERROR(__xludf.DUMMYFUNCTION("""COMPUTED_VALUE"""),"18")</f>
        <v>18</v>
      </c>
      <c r="G134" s="8">
        <f ca="1">IFERROR(__xludf.DUMMYFUNCTION("""COMPUTED_VALUE"""),51670)</f>
        <v>51670</v>
      </c>
      <c r="H134" s="8" t="str">
        <f ca="1">IFERROR(__xludf.DUMMYFUNCTION("""COMPUTED_VALUE"""),"N/Y Epoxy")</f>
        <v>N/Y Epoxy</v>
      </c>
      <c r="I134" s="8" t="str">
        <f ca="1">IFERROR(__xludf.DUMMYFUNCTION("""COMPUTED_VALUE"""),"16 x 600")</f>
        <v>16 x 600</v>
      </c>
      <c r="J134" s="8" t="str">
        <f ca="1">IFERROR(__xludf.DUMMYFUNCTION("""COMPUTED_VALUE"""),"MAN-B&amp;W")</f>
        <v>MAN-B&amp;W</v>
      </c>
      <c r="K134" s="8" t="str">
        <f ca="1">IFERROR(__xludf.DUMMYFUNCTION("""COMPUTED_VALUE"""),"14.6k/33.2t FO")</f>
        <v>14.6k/33.2t FO</v>
      </c>
      <c r="L134" s="8" t="str">
        <f ca="1">IFERROR(__xludf.DUMMYFUNCTION("""COMPUTED_VALUE"""),"To be chkd")</f>
        <v>To be chkd</v>
      </c>
      <c r="M134" s="8" t="str">
        <f ca="1">IFERROR(__xludf.DUMMYFUNCTION("""COMPUTED_VALUE"""),"LR 54/27D")</f>
        <v>LR 54/27D</v>
      </c>
      <c r="N134" s="8" t="str">
        <f ca="1">IFERROR(__xludf.DUMMYFUNCTION("""COMPUTED_VALUE"""),"Fujairah")</f>
        <v>Fujairah</v>
      </c>
      <c r="O134" s="8" t="str">
        <f ca="1">IFERROR(__xludf.DUMMYFUNCTION("""COMPUTED_VALUE"""),"B.offers")</f>
        <v>B.offers</v>
      </c>
    </row>
    <row r="135" spans="1:15" ht="15.75" customHeight="1" x14ac:dyDescent="0.25">
      <c r="A135" s="8" t="str">
        <f ca="1">IFERROR(__xludf.DUMMYFUNCTION("""COMPUTED_VALUE"""),"TA 46803/04")</f>
        <v>TA 46803/04</v>
      </c>
      <c r="B135" s="8" t="str">
        <f ca="1">IFERROR(__xludf.DUMMYFUNCTION("""COMPUTED_VALUE"""),"MR2/CPP Tanker")</f>
        <v>MR2/CPP Tanker</v>
      </c>
      <c r="C135" s="9">
        <f ca="1">IFERROR(__xludf.DUMMYFUNCTION("""COMPUTED_VALUE"""),46803)</f>
        <v>46803</v>
      </c>
      <c r="D135" s="8" t="str">
        <f ca="1">IFERROR(__xludf.DUMMYFUNCTION("""COMPUTED_VALUE"""),"2004-Korea")</f>
        <v>2004-Korea</v>
      </c>
      <c r="E135" s="8" t="str">
        <f ca="1">IFERROR(__xludf.DUMMYFUNCTION("""COMPUTED_VALUE"""),"183.2 x 32.20")</f>
        <v>183.2 x 32.20</v>
      </c>
      <c r="F135" s="8" t="str">
        <f ca="1">IFERROR(__xludf.DUMMYFUNCTION("""COMPUTED_VALUE"""),"14")</f>
        <v>14</v>
      </c>
      <c r="G135" s="8">
        <f ca="1">IFERROR(__xludf.DUMMYFUNCTION("""COMPUTED_VALUE"""),51593)</f>
        <v>51593</v>
      </c>
      <c r="H135" s="8" t="str">
        <f ca="1">IFERROR(__xludf.DUMMYFUNCTION("""COMPUTED_VALUE"""),"Y Heat ex/Y Epo")</f>
        <v>Y Heat ex/Y Epo</v>
      </c>
      <c r="I135" s="8" t="str">
        <f ca="1">IFERROR(__xludf.DUMMYFUNCTION("""COMPUTED_VALUE"""),"12x600+2x300")</f>
        <v>12x600+2x300</v>
      </c>
      <c r="J135" s="8" t="str">
        <f ca="1">IFERROR(__xludf.DUMMYFUNCTION("""COMPUTED_VALUE"""),"MAN-B&amp;W")</f>
        <v>MAN-B&amp;W</v>
      </c>
      <c r="K135" s="8" t="str">
        <f ca="1">IFERROR(__xludf.DUMMYFUNCTION("""COMPUTED_VALUE"""),"14.6 kn")</f>
        <v>14.6 kn</v>
      </c>
      <c r="L135" s="8" t="str">
        <f ca="1">IFERROR(__xludf.DUMMYFUNCTION("""COMPUTED_VALUE"""),"To be chkd")</f>
        <v>To be chkd</v>
      </c>
      <c r="M135" s="8" t="str">
        <f ca="1">IFERROR(__xludf.DUMMYFUNCTION("""COMPUTED_VALUE"""),"KR 2/29D")</f>
        <v>KR 2/29D</v>
      </c>
      <c r="N135" s="8" t="str">
        <f ca="1">IFERROR(__xludf.DUMMYFUNCTION("""COMPUTED_VALUE"""),"AG-India")</f>
        <v>AG-India</v>
      </c>
      <c r="O135" s="8" t="str">
        <f ca="1">IFERROR(__xludf.DUMMYFUNCTION("""COMPUTED_VALUE"""),"B.offers")</f>
        <v>B.offers</v>
      </c>
    </row>
    <row r="136" spans="1:15" ht="15.75" customHeight="1" x14ac:dyDescent="0.25">
      <c r="A136" s="8" t="str">
        <f ca="1">IFERROR(__xludf.DUMMYFUNCTION("""COMPUTED_VALUE"""),"TA 46792/06")</f>
        <v>TA 46792/06</v>
      </c>
      <c r="B136" s="8" t="str">
        <f ca="1">IFERROR(__xludf.DUMMYFUNCTION("""COMPUTED_VALUE"""),"MR2 Oil/Chem/CPP Tanker")</f>
        <v>MR2 Oil/Chem/CPP Tanker</v>
      </c>
      <c r="C136" s="9">
        <f ca="1">IFERROR(__xludf.DUMMYFUNCTION("""COMPUTED_VALUE"""),46792)</f>
        <v>46792</v>
      </c>
      <c r="D136" s="8" t="str">
        <f ca="1">IFERROR(__xludf.DUMMYFUNCTION("""COMPUTED_VALUE"""),"2006-Korea")</f>
        <v>2006-Korea</v>
      </c>
      <c r="E136" s="8" t="str">
        <f ca="1">IFERROR(__xludf.DUMMYFUNCTION("""COMPUTED_VALUE"""),"183.0 x 32.20")</f>
        <v>183.0 x 32.20</v>
      </c>
      <c r="F136" s="8" t="str">
        <f ca="1">IFERROR(__xludf.DUMMYFUNCTION("""COMPUTED_VALUE"""),"18")</f>
        <v>18</v>
      </c>
      <c r="G136" s="8">
        <f ca="1">IFERROR(__xludf.DUMMYFUNCTION("""COMPUTED_VALUE"""),54253)</f>
        <v>54253</v>
      </c>
      <c r="H136" s="8" t="str">
        <f ca="1">IFERROR(__xludf.DUMMYFUNCTION("""COMPUTED_VALUE"""),"N/Y Phenolic")</f>
        <v>N/Y Phenolic</v>
      </c>
      <c r="I136" s="8" t="str">
        <f ca="1">IFERROR(__xludf.DUMMYFUNCTION("""COMPUTED_VALUE"""),"Framo 12 x 600 +")</f>
        <v>Framo 12 x 600 +</v>
      </c>
      <c r="J136" s="8" t="str">
        <f ca="1">IFERROR(__xludf.DUMMYFUNCTION("""COMPUTED_VALUE"""),"MAN-B&amp;W")</f>
        <v>MAN-B&amp;W</v>
      </c>
      <c r="K136" s="8" t="str">
        <f ca="1">IFERROR(__xludf.DUMMYFUNCTION("""COMPUTED_VALUE"""),"-")</f>
        <v>-</v>
      </c>
      <c r="L136" s="8" t="str">
        <f ca="1">IFERROR(__xludf.DUMMYFUNCTION("""COMPUTED_VALUE"""),"To be chkd")</f>
        <v>To be chkd</v>
      </c>
      <c r="M136" s="8" t="str">
        <f ca="1">IFERROR(__xludf.DUMMYFUNCTION("""COMPUTED_VALUE"""),"LR 6/29D")</f>
        <v>LR 6/29D</v>
      </c>
      <c r="N136" s="8" t="str">
        <f ca="1">IFERROR(__xludf.DUMMYFUNCTION("""COMPUTED_VALUE"""),"Taiwan")</f>
        <v>Taiwan</v>
      </c>
      <c r="O136" s="8" t="str">
        <f ca="1">IFERROR(__xludf.DUMMYFUNCTION("""COMPUTED_VALUE"""),"B.offers")</f>
        <v>B.offers</v>
      </c>
    </row>
    <row r="137" spans="1:15" ht="15.75" customHeight="1" x14ac:dyDescent="0.25">
      <c r="A137" s="8" t="str">
        <f ca="1">IFERROR(__xludf.DUMMYFUNCTION("""COMPUTED_VALUE"""),"TA 46754/08")</f>
        <v>TA 46754/08</v>
      </c>
      <c r="B137" s="8" t="str">
        <f ca="1">IFERROR(__xludf.DUMMYFUNCTION("""COMPUTED_VALUE"""),"MR2 Oil/Chemical Tanker")</f>
        <v>MR2 Oil/Chemical Tanker</v>
      </c>
      <c r="C137" s="9">
        <f ca="1">IFERROR(__xludf.DUMMYFUNCTION("""COMPUTED_VALUE"""),46754)</f>
        <v>46754</v>
      </c>
      <c r="D137" s="8" t="str">
        <f ca="1">IFERROR(__xludf.DUMMYFUNCTION("""COMPUTED_VALUE"""),"2008-Korea")</f>
        <v>2008-Korea</v>
      </c>
      <c r="E137" s="8" t="str">
        <f ca="1">IFERROR(__xludf.DUMMYFUNCTION("""COMPUTED_VALUE"""),"183.0 x 32.20")</f>
        <v>183.0 x 32.20</v>
      </c>
      <c r="F137" s="8" t="str">
        <f ca="1">IFERROR(__xludf.DUMMYFUNCTION("""COMPUTED_VALUE"""),"14")</f>
        <v>14</v>
      </c>
      <c r="G137" s="8">
        <f ca="1">IFERROR(__xludf.DUMMYFUNCTION("""COMPUTED_VALUE"""),51439)</f>
        <v>51439</v>
      </c>
      <c r="H137" s="8" t="str">
        <f ca="1">IFERROR(__xludf.DUMMYFUNCTION("""COMPUTED_VALUE"""),"N/Y Epoxy")</f>
        <v>N/Y Epoxy</v>
      </c>
      <c r="I137" s="8" t="str">
        <f ca="1">IFERROR(__xludf.DUMMYFUNCTION("""COMPUTED_VALUE"""),"12 x 600")</f>
        <v>12 x 600</v>
      </c>
      <c r="J137" s="8" t="str">
        <f ca="1">IFERROR(__xludf.DUMMYFUNCTION("""COMPUTED_VALUE"""),"MAN-B&amp;W")</f>
        <v>MAN-B&amp;W</v>
      </c>
      <c r="K137" s="8" t="str">
        <f ca="1">IFERROR(__xludf.DUMMYFUNCTION("""COMPUTED_VALUE"""),"14.6k/36t FO")</f>
        <v>14.6k/36t FO</v>
      </c>
      <c r="L137" s="8" t="str">
        <f ca="1">IFERROR(__xludf.DUMMYFUNCTION("""COMPUTED_VALUE"""),"To be chkd")</f>
        <v>To be chkd</v>
      </c>
      <c r="M137" s="8" t="str">
        <f ca="1">IFERROR(__xludf.DUMMYFUNCTION("""COMPUTED_VALUE"""),"BV 1/28D")</f>
        <v>BV 1/28D</v>
      </c>
      <c r="N137" s="8" t="str">
        <f ca="1">IFERROR(__xludf.DUMMYFUNCTION("""COMPUTED_VALUE"""),"N.Europe")</f>
        <v>N.Europe</v>
      </c>
      <c r="O137" s="8" t="str">
        <f ca="1">IFERROR(__xludf.DUMMYFUNCTION("""COMPUTED_VALUE"""),"B.offers")</f>
        <v>B.offers</v>
      </c>
    </row>
    <row r="138" spans="1:15" ht="15.75" customHeight="1" x14ac:dyDescent="0.25">
      <c r="A138" s="8" t="str">
        <f ca="1">IFERROR(__xludf.DUMMYFUNCTION("""COMPUTED_VALUE"""),"TA 46697/05")</f>
        <v>TA 46697/05</v>
      </c>
      <c r="B138" s="8" t="str">
        <f ca="1">IFERROR(__xludf.DUMMYFUNCTION("""COMPUTED_VALUE"""),"MR2 CPP Oil/Chemical Tanker")</f>
        <v>MR2 CPP Oil/Chemical Tanker</v>
      </c>
      <c r="C138" s="9">
        <f ca="1">IFERROR(__xludf.DUMMYFUNCTION("""COMPUTED_VALUE"""),46697)</f>
        <v>46697</v>
      </c>
      <c r="D138" s="8" t="str">
        <f ca="1">IFERROR(__xludf.DUMMYFUNCTION("""COMPUTED_VALUE"""),"2005-Russia")</f>
        <v>2005-Russia</v>
      </c>
      <c r="E138" s="8" t="str">
        <f ca="1">IFERROR(__xludf.DUMMYFUNCTION("""COMPUTED_VALUE"""),"182.32 x 32.20")</f>
        <v>182.32 x 32.20</v>
      </c>
      <c r="F138" s="8" t="str">
        <f ca="1">IFERROR(__xludf.DUMMYFUNCTION("""COMPUTED_VALUE"""),"12")</f>
        <v>12</v>
      </c>
      <c r="G138" s="8">
        <f ca="1">IFERROR(__xludf.DUMMYFUNCTION("""COMPUTED_VALUE"""),51910)</f>
        <v>51910</v>
      </c>
      <c r="H138" s="8" t="str">
        <f ca="1">IFERROR(__xludf.DUMMYFUNCTION("""COMPUTED_VALUE"""),"N/Y Epoxy Phen.")</f>
        <v>N/Y Epoxy Phen.</v>
      </c>
      <c r="I138" s="8" t="str">
        <f ca="1">IFERROR(__xludf.DUMMYFUNCTION("""COMPUTED_VALUE"""),"10 x 550")</f>
        <v>10 x 550</v>
      </c>
      <c r="J138" s="8" t="str">
        <f ca="1">IFERROR(__xludf.DUMMYFUNCTION("""COMPUTED_VALUE"""),"B&amp;W")</f>
        <v>B&amp;W</v>
      </c>
      <c r="K138" s="8" t="str">
        <f ca="1">IFERROR(__xludf.DUMMYFUNCTION("""COMPUTED_VALUE"""),"14.3 kn")</f>
        <v>14.3 kn</v>
      </c>
      <c r="L138" s="8" t="str">
        <f ca="1">IFERROR(__xludf.DUMMYFUNCTION("""COMPUTED_VALUE"""),"Fitted")</f>
        <v>Fitted</v>
      </c>
      <c r="M138" s="8" t="str">
        <f ca="1">IFERROR(__xludf.DUMMYFUNCTION("""COMPUTED_VALUE"""),"IR 9/25D")</f>
        <v>IR 9/25D</v>
      </c>
      <c r="N138" s="8" t="str">
        <f ca="1">IFERROR(__xludf.DUMMYFUNCTION("""COMPUTED_VALUE"""),"Egypt")</f>
        <v>Egypt</v>
      </c>
      <c r="O138" s="8" t="str">
        <f ca="1">IFERROR(__xludf.DUMMYFUNCTION("""COMPUTED_VALUE"""),"B.offers")</f>
        <v>B.offers</v>
      </c>
    </row>
    <row r="139" spans="1:15" ht="15.75" customHeight="1" x14ac:dyDescent="0.25">
      <c r="A139" s="8" t="str">
        <f ca="1">IFERROR(__xludf.DUMMYFUNCTION("""COMPUTED_VALUE"""),"TA 46350/03")</f>
        <v>TA 46350/03</v>
      </c>
      <c r="B139" s="8" t="str">
        <f ca="1">IFERROR(__xludf.DUMMYFUNCTION("""COMPUTED_VALUE"""),"MR2 Oil/Chem Tanker")</f>
        <v>MR2 Oil/Chem Tanker</v>
      </c>
      <c r="C139" s="9">
        <f ca="1">IFERROR(__xludf.DUMMYFUNCTION("""COMPUTED_VALUE"""),46350)</f>
        <v>46350</v>
      </c>
      <c r="D139" s="8" t="str">
        <f ca="1">IFERROR(__xludf.DUMMYFUNCTION("""COMPUTED_VALUE"""),"2003-Korea")</f>
        <v>2003-Korea</v>
      </c>
      <c r="E139" s="8" t="str">
        <f ca="1">IFERROR(__xludf.DUMMYFUNCTION("""COMPUTED_VALUE"""),"183.0 x 32.20")</f>
        <v>183.0 x 32.20</v>
      </c>
      <c r="F139" s="8" t="str">
        <f ca="1">IFERROR(__xludf.DUMMYFUNCTION("""COMPUTED_VALUE"""),"12")</f>
        <v>12</v>
      </c>
      <c r="G139" s="8">
        <f ca="1">IFERROR(__xludf.DUMMYFUNCTION("""COMPUTED_VALUE"""),52201)</f>
        <v>52201</v>
      </c>
      <c r="H139" s="8" t="str">
        <f ca="1">IFERROR(__xludf.DUMMYFUNCTION("""COMPUTED_VALUE"""),"Y Heat ex/Y Epo")</f>
        <v>Y Heat ex/Y Epo</v>
      </c>
      <c r="I139" s="8" t="str">
        <f ca="1">IFERROR(__xludf.DUMMYFUNCTION("""COMPUTED_VALUE"""),"12x600+1x100+2x")</f>
        <v>12x600+1x100+2x</v>
      </c>
      <c r="J139" s="8" t="str">
        <f ca="1">IFERROR(__xludf.DUMMYFUNCTION("""COMPUTED_VALUE"""),"MAN-B&amp;W")</f>
        <v>MAN-B&amp;W</v>
      </c>
      <c r="K139" s="8" t="str">
        <f ca="1">IFERROR(__xludf.DUMMYFUNCTION("""COMPUTED_VALUE"""),"-")</f>
        <v>-</v>
      </c>
      <c r="L139" s="8" t="str">
        <f ca="1">IFERROR(__xludf.DUMMYFUNCTION("""COMPUTED_VALUE"""),"Fitted")</f>
        <v>Fitted</v>
      </c>
      <c r="M139" s="8" t="str">
        <f ca="1">IFERROR(__xludf.DUMMYFUNCTION("""COMPUTED_VALUE"""),"NV 1/28D")</f>
        <v>NV 1/28D</v>
      </c>
      <c r="N139" s="8" t="str">
        <f ca="1">IFERROR(__xludf.DUMMYFUNCTION("""COMPUTED_VALUE"""),"Med")</f>
        <v>Med</v>
      </c>
      <c r="O139" s="8" t="str">
        <f ca="1">IFERROR(__xludf.DUMMYFUNCTION("""COMPUTED_VALUE"""),"B.offers")</f>
        <v>B.offers</v>
      </c>
    </row>
    <row r="140" spans="1:15" ht="15.75" customHeight="1" x14ac:dyDescent="0.25">
      <c r="A140" s="8" t="str">
        <f ca="1">IFERROR(__xludf.DUMMYFUNCTION("""COMPUTED_VALUE"""),"TA 46344/99")</f>
        <v>TA 46344/99</v>
      </c>
      <c r="B140" s="8" t="str">
        <f ca="1">IFERROR(__xludf.DUMMYFUNCTION("""COMPUTED_VALUE"""),"MR2 Chem/DPP Tanker")</f>
        <v>MR2 Chem/DPP Tanker</v>
      </c>
      <c r="C140" s="9">
        <f ca="1">IFERROR(__xludf.DUMMYFUNCTION("""COMPUTED_VALUE"""),46344)</f>
        <v>46344</v>
      </c>
      <c r="D140" s="8" t="str">
        <f ca="1">IFERROR(__xludf.DUMMYFUNCTION("""COMPUTED_VALUE"""),"1999-Korea")</f>
        <v>1999-Korea</v>
      </c>
      <c r="E140" s="8" t="str">
        <f ca="1">IFERROR(__xludf.DUMMYFUNCTION("""COMPUTED_VALUE"""),"182.9 X 32.20")</f>
        <v>182.9 X 32.20</v>
      </c>
      <c r="F140" s="8" t="str">
        <f ca="1">IFERROR(__xludf.DUMMYFUNCTION("""COMPUTED_VALUE"""),"12")</f>
        <v>12</v>
      </c>
      <c r="G140" s="8">
        <f ca="1">IFERROR(__xludf.DUMMYFUNCTION("""COMPUTED_VALUE"""),49462)</f>
        <v>49462</v>
      </c>
      <c r="H140" s="8" t="str">
        <f ca="1">IFERROR(__xludf.DUMMYFUNCTION("""COMPUTED_VALUE"""),"Y/Y Epoxy")</f>
        <v>Y/Y Epoxy</v>
      </c>
      <c r="I140" s="8" t="str">
        <f ca="1">IFERROR(__xludf.DUMMYFUNCTION("""COMPUTED_VALUE"""),"Framo 12 x 600 ")</f>
        <v xml:space="preserve">Framo 12 x 600 </v>
      </c>
      <c r="J140" s="8" t="str">
        <f ca="1">IFERROR(__xludf.DUMMYFUNCTION("""COMPUTED_VALUE"""),"MAN-B&amp;W")</f>
        <v>MAN-B&amp;W</v>
      </c>
      <c r="K140" s="8" t="str">
        <f ca="1">IFERROR(__xludf.DUMMYFUNCTION("""COMPUTED_VALUE"""),"-")</f>
        <v>-</v>
      </c>
      <c r="L140" s="8" t="str">
        <f ca="1">IFERROR(__xludf.DUMMYFUNCTION("""COMPUTED_VALUE"""),"To be chkd")</f>
        <v>To be chkd</v>
      </c>
      <c r="M140" s="8" t="str">
        <f ca="1">IFERROR(__xludf.DUMMYFUNCTION("""COMPUTED_VALUE"""),"IR 11/24D")</f>
        <v>IR 11/24D</v>
      </c>
      <c r="N140" s="8" t="str">
        <f ca="1">IFERROR(__xludf.DUMMYFUNCTION("""COMPUTED_VALUE"""),"Indian C.")</f>
        <v>Indian C.</v>
      </c>
      <c r="O140" s="8" t="str">
        <f ca="1">IFERROR(__xludf.DUMMYFUNCTION("""COMPUTED_VALUE"""),"B.offers")</f>
        <v>B.offers</v>
      </c>
    </row>
    <row r="141" spans="1:15" ht="15.75" customHeight="1" x14ac:dyDescent="0.25">
      <c r="A141" s="8" t="str">
        <f ca="1">IFERROR(__xludf.DUMMYFUNCTION("""COMPUTED_VALUE"""),"TA 46319/04")</f>
        <v>TA 46319/04</v>
      </c>
      <c r="B141" s="8" t="str">
        <f ca="1">IFERROR(__xludf.DUMMYFUNCTION("""COMPUTED_VALUE"""),"MR2 Oil/Chemica Tanker")</f>
        <v>MR2 Oil/Chemica Tanker</v>
      </c>
      <c r="C141" s="9">
        <f ca="1">IFERROR(__xludf.DUMMYFUNCTION("""COMPUTED_VALUE"""),46319)</f>
        <v>46319</v>
      </c>
      <c r="D141" s="8" t="str">
        <f ca="1">IFERROR(__xludf.DUMMYFUNCTION("""COMPUTED_VALUE"""),"2004-Korea")</f>
        <v>2004-Korea</v>
      </c>
      <c r="E141" s="8" t="str">
        <f ca="1">IFERROR(__xludf.DUMMYFUNCTION("""COMPUTED_VALUE"""),"182.8 x 32.23")</f>
        <v>182.8 x 32.23</v>
      </c>
      <c r="F141" s="8" t="str">
        <f ca="1">IFERROR(__xludf.DUMMYFUNCTION("""COMPUTED_VALUE"""),"14")</f>
        <v>14</v>
      </c>
      <c r="G141" s="8">
        <f ca="1">IFERROR(__xludf.DUMMYFUNCTION("""COMPUTED_VALUE"""),50676)</f>
        <v>50676</v>
      </c>
      <c r="H141" s="8" t="str">
        <f ca="1">IFERROR(__xludf.DUMMYFUNCTION("""COMPUTED_VALUE"""),"Y/Y Epoxy")</f>
        <v>Y/Y Epoxy</v>
      </c>
      <c r="I141" s="8" t="str">
        <f ca="1">IFERROR(__xludf.DUMMYFUNCTION("""COMPUTED_VALUE"""),"4 x 1200")</f>
        <v>4 x 1200</v>
      </c>
      <c r="J141" s="8" t="str">
        <f ca="1">IFERROR(__xludf.DUMMYFUNCTION("""COMPUTED_VALUE"""),"MAN-B&amp;W")</f>
        <v>MAN-B&amp;W</v>
      </c>
      <c r="K141" s="8" t="str">
        <f ca="1">IFERROR(__xludf.DUMMYFUNCTION("""COMPUTED_VALUE"""),"-")</f>
        <v>-</v>
      </c>
      <c r="L141" s="8" t="str">
        <f ca="1">IFERROR(__xludf.DUMMYFUNCTION("""COMPUTED_VALUE"""),"Fitted")</f>
        <v>Fitted</v>
      </c>
      <c r="M141" s="8" t="str">
        <f ca="1">IFERROR(__xludf.DUMMYFUNCTION("""COMPUTED_VALUE"""),"NV 11/27D")</f>
        <v>NV 11/27D</v>
      </c>
      <c r="N141" s="8" t="str">
        <f ca="1">IFERROR(__xludf.DUMMYFUNCTION("""COMPUTED_VALUE"""),"Indonesia")</f>
        <v>Indonesia</v>
      </c>
      <c r="O141" s="8" t="str">
        <f ca="1">IFERROR(__xludf.DUMMYFUNCTION("""COMPUTED_VALUE"""),"B.offers")</f>
        <v>B.offers</v>
      </c>
    </row>
    <row r="142" spans="1:15" ht="15.75" customHeight="1" x14ac:dyDescent="0.25">
      <c r="A142" s="8" t="str">
        <f ca="1">IFERROR(__xludf.DUMMYFUNCTION("""COMPUTED_VALUE"""),"TA 46166/96")</f>
        <v>TA 46166/96</v>
      </c>
      <c r="B142" s="8" t="str">
        <f ca="1">IFERROR(__xludf.DUMMYFUNCTION("""COMPUTED_VALUE"""),"MR2 Chemical Tanker")</f>
        <v>MR2 Chemical Tanker</v>
      </c>
      <c r="C142" s="9">
        <f ca="1">IFERROR(__xludf.DUMMYFUNCTION("""COMPUTED_VALUE"""),46166)</f>
        <v>46166</v>
      </c>
      <c r="D142" s="8" t="str">
        <f ca="1">IFERROR(__xludf.DUMMYFUNCTION("""COMPUTED_VALUE"""),"1996-Croatia")</f>
        <v>1996-Croatia</v>
      </c>
      <c r="E142" s="8" t="str">
        <f ca="1">IFERROR(__xludf.DUMMYFUNCTION("""COMPUTED_VALUE"""),"181.00 x 31.98")</f>
        <v>181.00 x 31.98</v>
      </c>
      <c r="F142" s="8" t="str">
        <f ca="1">IFERROR(__xludf.DUMMYFUNCTION("""COMPUTED_VALUE"""),"12")</f>
        <v>12</v>
      </c>
      <c r="G142" s="8" t="str">
        <f ca="1">IFERROR(__xludf.DUMMYFUNCTION("""COMPUTED_VALUE"""),"49168")</f>
        <v>49168</v>
      </c>
      <c r="H142" s="8" t="str">
        <f ca="1">IFERROR(__xludf.DUMMYFUNCTION("""COMPUTED_VALUE"""),"Y/Y Epoxy")</f>
        <v>Y/Y Epoxy</v>
      </c>
      <c r="I142" s="8" t="str">
        <f ca="1">IFERROR(__xludf.DUMMYFUNCTION("""COMPUTED_VALUE"""),"10 x 550")</f>
        <v>10 x 550</v>
      </c>
      <c r="J142" s="8" t="str">
        <f ca="1">IFERROR(__xludf.DUMMYFUNCTION("""COMPUTED_VALUE"""),"B&amp;W")</f>
        <v>B&amp;W</v>
      </c>
      <c r="K142" s="8" t="str">
        <f ca="1">IFERROR(__xludf.DUMMYFUNCTION("""COMPUTED_VALUE"""),"10 kn")</f>
        <v>10 kn</v>
      </c>
      <c r="L142" s="8" t="str">
        <f ca="1">IFERROR(__xludf.DUMMYFUNCTION("""COMPUTED_VALUE"""),"To be chkd")</f>
        <v>To be chkd</v>
      </c>
      <c r="M142" s="8" t="str">
        <f ca="1">IFERROR(__xludf.DUMMYFUNCTION("""COMPUTED_VALUE"""),"Demolition")</f>
        <v>Demolition</v>
      </c>
      <c r="N142" s="8" t="str">
        <f ca="1">IFERROR(__xludf.DUMMYFUNCTION("""COMPUTED_VALUE"""),"India")</f>
        <v>India</v>
      </c>
      <c r="O142" s="8" t="str">
        <f ca="1">IFERROR(__xludf.DUMMYFUNCTION("""COMPUTED_VALUE"""),"B.offers")</f>
        <v>B.offers</v>
      </c>
    </row>
    <row r="143" spans="1:15" ht="15.75" customHeight="1" x14ac:dyDescent="0.25">
      <c r="A143" s="8" t="str">
        <f ca="1">IFERROR(__xludf.DUMMYFUNCTION("""COMPUTED_VALUE"""),"TA 46105/10")</f>
        <v>TA 46105/10</v>
      </c>
      <c r="B143" s="8" t="str">
        <f ca="1">IFERROR(__xludf.DUMMYFUNCTION("""COMPUTED_VALUE"""),"MR2 Chem/IMO 2 Tanker")</f>
        <v>MR2 Chem/IMO 2 Tanker</v>
      </c>
      <c r="C143" s="9">
        <f ca="1">IFERROR(__xludf.DUMMYFUNCTION("""COMPUTED_VALUE"""),46105)</f>
        <v>46105</v>
      </c>
      <c r="D143" s="8" t="str">
        <f ca="1">IFERROR(__xludf.DUMMYFUNCTION("""COMPUTED_VALUE"""),"2010-Korea")</f>
        <v>2010-Korea</v>
      </c>
      <c r="E143" s="8" t="str">
        <f ca="1">IFERROR(__xludf.DUMMYFUNCTION("""COMPUTED_VALUE"""),"182.8 x 32.21")</f>
        <v>182.8 x 32.21</v>
      </c>
      <c r="F143" s="8" t="str">
        <f ca="1">IFERROR(__xludf.DUMMYFUNCTION("""COMPUTED_VALUE"""),"29")</f>
        <v>29</v>
      </c>
      <c r="G143" s="8">
        <f ca="1">IFERROR(__xludf.DUMMYFUNCTION("""COMPUTED_VALUE"""),47744)</f>
        <v>47744</v>
      </c>
      <c r="H143" s="8" t="str">
        <f ca="1">IFERROR(__xludf.DUMMYFUNCTION("""COMPUTED_VALUE"""),"N/Y Epoxy")</f>
        <v>N/Y Epoxy</v>
      </c>
      <c r="I143" s="8" t="str">
        <f ca="1">IFERROR(__xludf.DUMMYFUNCTION("""COMPUTED_VALUE"""),"14x360 + 15x220")</f>
        <v>14x360 + 15x220</v>
      </c>
      <c r="J143" s="8" t="str">
        <f ca="1">IFERROR(__xludf.DUMMYFUNCTION("""COMPUTED_VALUE"""),"MAN-B&amp;W")</f>
        <v>MAN-B&amp;W</v>
      </c>
      <c r="K143" s="8"/>
      <c r="L143" s="8" t="str">
        <f ca="1">IFERROR(__xludf.DUMMYFUNCTION("""COMPUTED_VALUE"""),"Fitted")</f>
        <v>Fitted</v>
      </c>
      <c r="M143" s="8" t="str">
        <f ca="1">IFERROR(__xludf.DUMMYFUNCTION("""COMPUTED_VALUE"""),"NV 3/25P")</f>
        <v>NV 3/25P</v>
      </c>
      <c r="N143" s="8" t="str">
        <f ca="1">IFERROR(__xludf.DUMMYFUNCTION("""COMPUTED_VALUE"""),"TC China")</f>
        <v>TC China</v>
      </c>
      <c r="O143" s="8" t="str">
        <f ca="1">IFERROR(__xludf.DUMMYFUNCTION("""COMPUTED_VALUE"""),"USD 23-22 m")</f>
        <v>USD 23-22 m</v>
      </c>
    </row>
    <row r="144" spans="1:15" ht="15.75" customHeight="1" x14ac:dyDescent="0.25">
      <c r="A144" s="8" t="str">
        <f ca="1">IFERROR(__xludf.DUMMYFUNCTION("""COMPUTED_VALUE"""),"TA 45990/06")</f>
        <v>TA 45990/06</v>
      </c>
      <c r="B144" s="8" t="str">
        <f ca="1">IFERROR(__xludf.DUMMYFUNCTION("""COMPUTED_VALUE"""),"MR2 DPP Tanker")</f>
        <v>MR2 DPP Tanker</v>
      </c>
      <c r="C144" s="9">
        <f ca="1">IFERROR(__xludf.DUMMYFUNCTION("""COMPUTED_VALUE"""),45990)</f>
        <v>45990</v>
      </c>
      <c r="D144" s="8" t="str">
        <f ca="1">IFERROR(__xludf.DUMMYFUNCTION("""COMPUTED_VALUE"""),"2006-China")</f>
        <v>2006-China</v>
      </c>
      <c r="E144" s="8" t="str">
        <f ca="1">IFERROR(__xludf.DUMMYFUNCTION("""COMPUTED_VALUE"""),"183.0 x 32.20")</f>
        <v>183.0 x 32.20</v>
      </c>
      <c r="F144" s="8" t="str">
        <f ca="1">IFERROR(__xludf.DUMMYFUNCTION("""COMPUTED_VALUE"""),"14")</f>
        <v>14</v>
      </c>
      <c r="G144" s="8">
        <f ca="1">IFERROR(__xludf.DUMMYFUNCTION("""COMPUTED_VALUE"""),52199)</f>
        <v>52199</v>
      </c>
      <c r="H144" s="8" t="str">
        <f ca="1">IFERROR(__xludf.DUMMYFUNCTION("""COMPUTED_VALUE"""),"Y/Y Epoxy")</f>
        <v>Y/Y Epoxy</v>
      </c>
      <c r="I144" s="8" t="str">
        <f ca="1">IFERROR(__xludf.DUMMYFUNCTION("""COMPUTED_VALUE"""),"12 x 600")</f>
        <v>12 x 600</v>
      </c>
      <c r="J144" s="8" t="str">
        <f ca="1">IFERROR(__xludf.DUMMYFUNCTION("""COMPUTED_VALUE"""),"MAN-B&amp;W")</f>
        <v>MAN-B&amp;W</v>
      </c>
      <c r="K144" s="8" t="str">
        <f ca="1">IFERROR(__xludf.DUMMYFUNCTION("""COMPUTED_VALUE"""),"14.5k/33 t IFO")</f>
        <v>14.5k/33 t IFO</v>
      </c>
      <c r="L144" s="8" t="str">
        <f ca="1">IFERROR(__xludf.DUMMYFUNCTION("""COMPUTED_VALUE"""),"To be chkd")</f>
        <v>To be chkd</v>
      </c>
      <c r="M144" s="8" t="str">
        <f ca="1">IFERROR(__xludf.DUMMYFUNCTION("""COMPUTED_VALUE"""),"KR 2/26D")</f>
        <v>KR 2/26D</v>
      </c>
      <c r="N144" s="8" t="str">
        <f ca="1">IFERROR(__xludf.DUMMYFUNCTION("""COMPUTED_VALUE"""),"Fareast")</f>
        <v>Fareast</v>
      </c>
      <c r="O144" s="8" t="str">
        <f ca="1">IFERROR(__xludf.DUMMYFUNCTION("""COMPUTED_VALUE"""),"B.offers")</f>
        <v>B.offers</v>
      </c>
    </row>
    <row r="145" spans="1:15" ht="15.75" customHeight="1" x14ac:dyDescent="0.25">
      <c r="A145" s="8" t="str">
        <f ca="1">IFERROR(__xludf.DUMMYFUNCTION("""COMPUTED_VALUE"""),"TA 45999/02")</f>
        <v>TA 45999/02</v>
      </c>
      <c r="B145" s="8" t="str">
        <f ca="1">IFERROR(__xludf.DUMMYFUNCTION("""COMPUTED_VALUE"""),"MR2 CPP Oil/Chemical Tanker")</f>
        <v>MR2 CPP Oil/Chemical Tanker</v>
      </c>
      <c r="C145" s="9">
        <f ca="1">IFERROR(__xludf.DUMMYFUNCTION("""COMPUTED_VALUE"""),45999)</f>
        <v>45999</v>
      </c>
      <c r="D145" s="8" t="str">
        <f ca="1">IFERROR(__xludf.DUMMYFUNCTION("""COMPUTED_VALUE"""),"2002-Japan")</f>
        <v>2002-Japan</v>
      </c>
      <c r="E145" s="8" t="str">
        <f ca="1">IFERROR(__xludf.DUMMYFUNCTION("""COMPUTED_VALUE"""),"182.5 x 32.20")</f>
        <v>182.5 x 32.20</v>
      </c>
      <c r="F145" s="8" t="str">
        <f ca="1">IFERROR(__xludf.DUMMYFUNCTION("""COMPUTED_VALUE"""),"16")</f>
        <v>16</v>
      </c>
      <c r="G145" s="8">
        <f ca="1">IFERROR(__xludf.DUMMYFUNCTION("""COMPUTED_VALUE"""),50332)</f>
        <v>50332</v>
      </c>
      <c r="H145" s="8" t="str">
        <f ca="1">IFERROR(__xludf.DUMMYFUNCTION("""COMPUTED_VALUE"""),"N/Y Epoxy")</f>
        <v>N/Y Epoxy</v>
      </c>
      <c r="I145" s="8" t="str">
        <f ca="1">IFERROR(__xludf.DUMMYFUNCTION("""COMPUTED_VALUE"""),"4 x 1000")</f>
        <v>4 x 1000</v>
      </c>
      <c r="J145" s="8" t="str">
        <f ca="1">IFERROR(__xludf.DUMMYFUNCTION("""COMPUTED_VALUE"""),"MAN-B&amp;W")</f>
        <v>MAN-B&amp;W</v>
      </c>
      <c r="K145" s="8" t="str">
        <f ca="1">IFERROR(__xludf.DUMMYFUNCTION("""COMPUTED_VALUE"""),"-")</f>
        <v>-</v>
      </c>
      <c r="L145" s="8" t="str">
        <f ca="1">IFERROR(__xludf.DUMMYFUNCTION("""COMPUTED_VALUE"""),"Not fitted")</f>
        <v>Not fitted</v>
      </c>
      <c r="M145" s="8" t="str">
        <f ca="1">IFERROR(__xludf.DUMMYFUNCTION("""COMPUTED_VALUE"""),"IR 9/26D")</f>
        <v>IR 9/26D</v>
      </c>
      <c r="N145" s="8" t="str">
        <f ca="1">IFERROR(__xludf.DUMMYFUNCTION("""COMPUTED_VALUE"""),"AG-India")</f>
        <v>AG-India</v>
      </c>
      <c r="O145" s="8" t="str">
        <f ca="1">IFERROR(__xludf.DUMMYFUNCTION("""COMPUTED_VALUE"""),"B.offers")</f>
        <v>B.offers</v>
      </c>
    </row>
    <row r="146" spans="1:15" ht="15.75" customHeight="1" x14ac:dyDescent="0.25">
      <c r="A146" s="8" t="str">
        <f ca="1">IFERROR(__xludf.DUMMYFUNCTION("""COMPUTED_VALUE"""),"TA 45915/04")</f>
        <v>TA 45915/04</v>
      </c>
      <c r="B146" s="8" t="str">
        <f ca="1">IFERROR(__xludf.DUMMYFUNCTION("""COMPUTED_VALUE"""),"MR2 Oil/Chem/CPP Tanker")</f>
        <v>MR2 Oil/Chem/CPP Tanker</v>
      </c>
      <c r="C146" s="9">
        <f ca="1">IFERROR(__xludf.DUMMYFUNCTION("""COMPUTED_VALUE"""),45915)</f>
        <v>45915</v>
      </c>
      <c r="D146" s="8" t="str">
        <f ca="1">IFERROR(__xludf.DUMMYFUNCTION("""COMPUTED_VALUE"""),"2004-Japan")</f>
        <v>2004-Japan</v>
      </c>
      <c r="E146" s="8" t="str">
        <f ca="1">IFERROR(__xludf.DUMMYFUNCTION("""COMPUTED_VALUE"""),"179.8 x 32.20")</f>
        <v>179.8 x 32.20</v>
      </c>
      <c r="F146" s="8" t="str">
        <f ca="1">IFERROR(__xludf.DUMMYFUNCTION("""COMPUTED_VALUE"""),"16")</f>
        <v>16</v>
      </c>
      <c r="G146" s="8">
        <f ca="1">IFERROR(__xludf.DUMMYFUNCTION("""COMPUTED_VALUE"""),50749)</f>
        <v>50749</v>
      </c>
      <c r="H146" s="8" t="str">
        <f ca="1">IFERROR(__xludf.DUMMYFUNCTION("""COMPUTED_VALUE"""),"Y/Y Epoxy")</f>
        <v>Y/Y Epoxy</v>
      </c>
      <c r="I146" s="8" t="str">
        <f ca="1">IFERROR(__xludf.DUMMYFUNCTION("""COMPUTED_VALUE"""),"4 x 1000")</f>
        <v>4 x 1000</v>
      </c>
      <c r="J146" s="8" t="str">
        <f ca="1">IFERROR(__xludf.DUMMYFUNCTION("""COMPUTED_VALUE"""),"Mitsubishi")</f>
        <v>Mitsubishi</v>
      </c>
      <c r="K146" s="8" t="str">
        <f ca="1">IFERROR(__xludf.DUMMYFUNCTION("""COMPUTED_VALUE"""),"15.3k/92t FO")</f>
        <v>15.3k/92t FO</v>
      </c>
      <c r="L146" s="8" t="str">
        <f ca="1">IFERROR(__xludf.DUMMYFUNCTION("""COMPUTED_VALUE"""),"Scrub fit")</f>
        <v>Scrub fit</v>
      </c>
      <c r="M146" s="8" t="str">
        <f ca="1">IFERROR(__xludf.DUMMYFUNCTION("""COMPUTED_VALUE"""),"BV 9.24P")</f>
        <v>BV 9.24P</v>
      </c>
      <c r="N146" s="8" t="str">
        <f ca="1">IFERROR(__xludf.DUMMYFUNCTION("""COMPUTED_VALUE"""),"Gibraltar")</f>
        <v>Gibraltar</v>
      </c>
      <c r="O146" s="8" t="str">
        <f ca="1">IFERROR(__xludf.DUMMYFUNCTION("""COMPUTED_VALUE"""),"17.0 m")</f>
        <v>17.0 m</v>
      </c>
    </row>
    <row r="147" spans="1:15" ht="15.75" customHeight="1" x14ac:dyDescent="0.25">
      <c r="A147" s="8" t="str">
        <f ca="1">IFERROR(__xludf.DUMMYFUNCTION("""COMPUTED_VALUE"""),"TA 45886/07")</f>
        <v>TA 45886/07</v>
      </c>
      <c r="B147" s="8" t="str">
        <f ca="1">IFERROR(__xludf.DUMMYFUNCTION("""COMPUTED_VALUE"""),"MR2 Oil/Chemical Tanker")</f>
        <v>MR2 Oil/Chemical Tanker</v>
      </c>
      <c r="C147" s="9">
        <f ca="1">IFERROR(__xludf.DUMMYFUNCTION("""COMPUTED_VALUE"""),45886)</f>
        <v>45886</v>
      </c>
      <c r="D147" s="8" t="str">
        <f ca="1">IFERROR(__xludf.DUMMYFUNCTION("""COMPUTED_VALUE"""),"2007-China")</f>
        <v>2007-China</v>
      </c>
      <c r="E147" s="8" t="str">
        <f ca="1">IFERROR(__xludf.DUMMYFUNCTION("""COMPUTED_VALUE"""),"184.5 x 32.20")</f>
        <v>184.5 x 32.20</v>
      </c>
      <c r="F147" s="8" t="str">
        <f ca="1">IFERROR(__xludf.DUMMYFUNCTION("""COMPUTED_VALUE"""),"14")</f>
        <v>14</v>
      </c>
      <c r="G147" s="8">
        <f ca="1">IFERROR(__xludf.DUMMYFUNCTION("""COMPUTED_VALUE"""),52480)</f>
        <v>52480</v>
      </c>
      <c r="H147" s="8" t="str">
        <f ca="1">IFERROR(__xludf.DUMMYFUNCTION("""COMPUTED_VALUE"""),"Y/Y Epoxy")</f>
        <v>Y/Y Epoxy</v>
      </c>
      <c r="I147" s="8" t="str">
        <f ca="1">IFERROR(__xludf.DUMMYFUNCTION("""COMPUTED_VALUE"""),"12 x 600 Deepwell")</f>
        <v>12 x 600 Deepwell</v>
      </c>
      <c r="J147" s="8" t="str">
        <f ca="1">IFERROR(__xludf.DUMMYFUNCTION("""COMPUTED_VALUE"""),"MAN-B&amp;W")</f>
        <v>MAN-B&amp;W</v>
      </c>
      <c r="K147" s="8" t="str">
        <f ca="1">IFERROR(__xludf.DUMMYFUNCTION("""COMPUTED_VALUE"""),"-")</f>
        <v>-</v>
      </c>
      <c r="L147" s="8" t="str">
        <f ca="1">IFERROR(__xludf.DUMMYFUNCTION("""COMPUTED_VALUE"""),"Fitted")</f>
        <v>Fitted</v>
      </c>
      <c r="M147" s="8" t="str">
        <f ca="1">IFERROR(__xludf.DUMMYFUNCTION("""COMPUTED_VALUE"""),"CCS Class")</f>
        <v>CCS Class</v>
      </c>
      <c r="N147" s="8" t="str">
        <f ca="1">IFERROR(__xludf.DUMMYFUNCTION("""COMPUTED_VALUE"""),"China in DD")</f>
        <v>China in DD</v>
      </c>
      <c r="O147" s="8" t="str">
        <f ca="1">IFERROR(__xludf.DUMMYFUNCTION("""COMPUTED_VALUE"""),"B.offers")</f>
        <v>B.offers</v>
      </c>
    </row>
    <row r="148" spans="1:15" ht="15.75" customHeight="1" x14ac:dyDescent="0.25">
      <c r="A148" s="8" t="str">
        <f ca="1">IFERROR(__xludf.DUMMYFUNCTION("""COMPUTED_VALUE"""),"TA 45838/05")</f>
        <v>TA 45838/05</v>
      </c>
      <c r="B148" s="8" t="str">
        <f ca="1">IFERROR(__xludf.DUMMYFUNCTION("""COMPUTED_VALUE"""),"MR2 Oil/Chem CPP Tanker")</f>
        <v>MR2 Oil/Chem CPP Tanker</v>
      </c>
      <c r="C148" s="9">
        <f ca="1">IFERROR(__xludf.DUMMYFUNCTION("""COMPUTED_VALUE"""),45838)</f>
        <v>45838</v>
      </c>
      <c r="D148" s="8" t="str">
        <f ca="1">IFERROR(__xludf.DUMMYFUNCTION("""COMPUTED_VALUE"""),"2005-Japan")</f>
        <v>2005-Japan</v>
      </c>
      <c r="E148" s="8" t="str">
        <f ca="1">IFERROR(__xludf.DUMMYFUNCTION("""COMPUTED_VALUE"""),"179.8 x 32.20")</f>
        <v>179.8 x 32.20</v>
      </c>
      <c r="F148" s="8" t="str">
        <f ca="1">IFERROR(__xludf.DUMMYFUNCTION("""COMPUTED_VALUE"""),"12")</f>
        <v>12</v>
      </c>
      <c r="G148" s="8">
        <f ca="1">IFERROR(__xludf.DUMMYFUNCTION("""COMPUTED_VALUE"""),52050)</f>
        <v>52050</v>
      </c>
      <c r="H148" s="8" t="str">
        <f ca="1">IFERROR(__xludf.DUMMYFUNCTION("""COMPUTED_VALUE"""),"Y/Y Epoxy")</f>
        <v>Y/Y Epoxy</v>
      </c>
      <c r="I148" s="8" t="str">
        <f ca="1">IFERROR(__xludf.DUMMYFUNCTION("""COMPUTED_VALUE"""),"4 x 1000")</f>
        <v>4 x 1000</v>
      </c>
      <c r="J148" s="8" t="str">
        <f ca="1">IFERROR(__xludf.DUMMYFUNCTION("""COMPUTED_VALUE"""),"Mitsubishi")</f>
        <v>Mitsubishi</v>
      </c>
      <c r="K148" s="8" t="str">
        <f ca="1">IFERROR(__xludf.DUMMYFUNCTION("""COMPUTED_VALUE"""),"-")</f>
        <v>-</v>
      </c>
      <c r="L148" s="8" t="str">
        <f ca="1">IFERROR(__xludf.DUMMYFUNCTION("""COMPUTED_VALUE"""),"-")</f>
        <v>-</v>
      </c>
      <c r="M148" s="8" t="str">
        <f ca="1">IFERROR(__xludf.DUMMYFUNCTION("""COMPUTED_VALUE"""),"BV 4/29D")</f>
        <v>BV 4/29D</v>
      </c>
      <c r="N148" s="8" t="str">
        <f ca="1">IFERROR(__xludf.DUMMYFUNCTION("""COMPUTED_VALUE"""),"Port Sudan")</f>
        <v>Port Sudan</v>
      </c>
      <c r="O148" s="8" t="str">
        <f ca="1">IFERROR(__xludf.DUMMYFUNCTION("""COMPUTED_VALUE"""),"B.offers")</f>
        <v>B.offers</v>
      </c>
    </row>
    <row r="149" spans="1:15" ht="15.75" customHeight="1" x14ac:dyDescent="0.25">
      <c r="A149" s="8" t="str">
        <f ca="1">IFERROR(__xludf.DUMMYFUNCTION("""COMPUTED_VALUE"""),"TA 45800/08")</f>
        <v>TA 45800/08</v>
      </c>
      <c r="B149" s="8" t="str">
        <f ca="1">IFERROR(__xludf.DUMMYFUNCTION("""COMPUTED_VALUE"""),"MR2 Oil/Chemical Tanker")</f>
        <v>MR2 Oil/Chemical Tanker</v>
      </c>
      <c r="C149" s="9">
        <f ca="1">IFERROR(__xludf.DUMMYFUNCTION("""COMPUTED_VALUE"""),45800)</f>
        <v>45800</v>
      </c>
      <c r="D149" s="8" t="str">
        <f ca="1">IFERROR(__xludf.DUMMYFUNCTION("""COMPUTED_VALUE"""),"2008-China")</f>
        <v>2008-China</v>
      </c>
      <c r="E149" s="8" t="str">
        <f ca="1">IFERROR(__xludf.DUMMYFUNCTION("""COMPUTED_VALUE"""),"184.95 X 32.20")</f>
        <v>184.95 X 32.20</v>
      </c>
      <c r="F149" s="8" t="str">
        <f ca="1">IFERROR(__xludf.DUMMYFUNCTION("""COMPUTED_VALUE"""),"14")</f>
        <v>14</v>
      </c>
      <c r="G149" s="8">
        <f ca="1">IFERROR(__xludf.DUMMYFUNCTION("""COMPUTED_VALUE"""),52480)</f>
        <v>52480</v>
      </c>
      <c r="H149" s="8" t="str">
        <f ca="1">IFERROR(__xludf.DUMMYFUNCTION("""COMPUTED_VALUE"""),"Y/Y Epoxy")</f>
        <v>Y/Y Epoxy</v>
      </c>
      <c r="I149" s="8" t="str">
        <f ca="1">IFERROR(__xludf.DUMMYFUNCTION("""COMPUTED_VALUE"""),"-")</f>
        <v>-</v>
      </c>
      <c r="J149" s="8" t="str">
        <f ca="1">IFERROR(__xludf.DUMMYFUNCTION("""COMPUTED_VALUE"""),"MAN-B&amp;W")</f>
        <v>MAN-B&amp;W</v>
      </c>
      <c r="K149" s="8"/>
      <c r="L149" s="8" t="str">
        <f ca="1">IFERROR(__xludf.DUMMYFUNCTION("""COMPUTED_VALUE"""),"Fitted")</f>
        <v>Fitted</v>
      </c>
      <c r="M149" s="8" t="str">
        <f ca="1">IFERROR(__xludf.DUMMYFUNCTION("""COMPUTED_VALUE"""),"ccs 7/27D")</f>
        <v>ccs 7/27D</v>
      </c>
      <c r="N149" s="8" t="str">
        <f ca="1">IFERROR(__xludf.DUMMYFUNCTION("""COMPUTED_VALUE"""),"S.Africa")</f>
        <v>S.Africa</v>
      </c>
      <c r="O149" s="8" t="str">
        <f ca="1">IFERROR(__xludf.DUMMYFUNCTION("""COMPUTED_VALUE"""),"16-15.0 m")</f>
        <v>16-15.0 m</v>
      </c>
    </row>
    <row r="150" spans="1:15" ht="15.75" customHeight="1" x14ac:dyDescent="0.25">
      <c r="A150" s="8" t="str">
        <f ca="1">IFERROR(__xludf.DUMMYFUNCTION("""COMPUTED_VALUE"""),"TA 45720/07")</f>
        <v>TA 45720/07</v>
      </c>
      <c r="B150" s="8" t="str">
        <f ca="1">IFERROR(__xludf.DUMMYFUNCTION("""COMPUTED_VALUE"""),"MR2 Oil/Chemical Tanker")</f>
        <v>MR2 Oil/Chemical Tanker</v>
      </c>
      <c r="C150" s="9">
        <f ca="1">IFERROR(__xludf.DUMMYFUNCTION("""COMPUTED_VALUE"""),45720)</f>
        <v>45720</v>
      </c>
      <c r="D150" s="8" t="str">
        <f ca="1">IFERROR(__xludf.DUMMYFUNCTION("""COMPUTED_VALUE"""),"2007-China")</f>
        <v>2007-China</v>
      </c>
      <c r="E150" s="8" t="str">
        <f ca="1">IFERROR(__xludf.DUMMYFUNCTION("""COMPUTED_VALUE"""),"184.9 x 32.20")</f>
        <v>184.9 x 32.20</v>
      </c>
      <c r="F150" s="8" t="str">
        <f ca="1">IFERROR(__xludf.DUMMYFUNCTION("""COMPUTED_VALUE"""),"14")</f>
        <v>14</v>
      </c>
      <c r="G150" s="8">
        <f ca="1">IFERROR(__xludf.DUMMYFUNCTION("""COMPUTED_VALUE"""),53527)</f>
        <v>53527</v>
      </c>
      <c r="H150" s="8" t="str">
        <f ca="1">IFERROR(__xludf.DUMMYFUNCTION("""COMPUTED_VALUE"""),"Y/Y Epoxy")</f>
        <v>Y/Y Epoxy</v>
      </c>
      <c r="I150" s="8" t="str">
        <f ca="1">IFERROR(__xludf.DUMMYFUNCTION("""COMPUTED_VALUE"""),"12 x 600 Deepwell")</f>
        <v>12 x 600 Deepwell</v>
      </c>
      <c r="J150" s="8" t="str">
        <f ca="1">IFERROR(__xludf.DUMMYFUNCTION("""COMPUTED_VALUE"""),"Sulzer")</f>
        <v>Sulzer</v>
      </c>
      <c r="K150" s="8" t="str">
        <f ca="1">IFERROR(__xludf.DUMMYFUNCTION("""COMPUTED_VALUE"""),"-")</f>
        <v>-</v>
      </c>
      <c r="L150" s="8" t="str">
        <f ca="1">IFERROR(__xludf.DUMMYFUNCTION("""COMPUTED_VALUE"""),"Fitted")</f>
        <v>Fitted</v>
      </c>
      <c r="M150" s="8" t="str">
        <f ca="1">IFERROR(__xludf.DUMMYFUNCTION("""COMPUTED_VALUE"""),"CCS Class")</f>
        <v>CCS Class</v>
      </c>
      <c r="N150" s="8" t="str">
        <f ca="1">IFERROR(__xludf.DUMMYFUNCTION("""COMPUTED_VALUE"""),"Check")</f>
        <v>Check</v>
      </c>
      <c r="O150" s="8" t="str">
        <f ca="1">IFERROR(__xludf.DUMMYFUNCTION("""COMPUTED_VALUE"""),"B.offers")</f>
        <v>B.offers</v>
      </c>
    </row>
    <row r="151" spans="1:15" ht="15.75" customHeight="1" x14ac:dyDescent="0.25">
      <c r="A151" s="8" t="str">
        <f ca="1">IFERROR(__xludf.DUMMYFUNCTION("""COMPUTED_VALUE"""),"TA 45717/07")</f>
        <v>TA 45717/07</v>
      </c>
      <c r="B151" s="8" t="str">
        <f ca="1">IFERROR(__xludf.DUMMYFUNCTION("""COMPUTED_VALUE"""),"MR2 Oil/Chemical Tanker")</f>
        <v>MR2 Oil/Chemical Tanker</v>
      </c>
      <c r="C151" s="9">
        <f ca="1">IFERROR(__xludf.DUMMYFUNCTION("""COMPUTED_VALUE"""),45717)</f>
        <v>45717</v>
      </c>
      <c r="D151" s="8" t="str">
        <f ca="1">IFERROR(__xludf.DUMMYFUNCTION("""COMPUTED_VALUE"""),"2007-China")</f>
        <v>2007-China</v>
      </c>
      <c r="E151" s="8" t="str">
        <f ca="1">IFERROR(__xludf.DUMMYFUNCTION("""COMPUTED_VALUE"""),"184.9 x 32.20")</f>
        <v>184.9 x 32.20</v>
      </c>
      <c r="F151" s="8" t="str">
        <f ca="1">IFERROR(__xludf.DUMMYFUNCTION("""COMPUTED_VALUE"""),"14")</f>
        <v>14</v>
      </c>
      <c r="G151" s="8">
        <f ca="1">IFERROR(__xludf.DUMMYFUNCTION("""COMPUTED_VALUE"""),51054)</f>
        <v>51054</v>
      </c>
      <c r="H151" s="8" t="str">
        <f ca="1">IFERROR(__xludf.DUMMYFUNCTION("""COMPUTED_VALUE"""),"Y / Y Epoxy")</f>
        <v>Y / Y Epoxy</v>
      </c>
      <c r="I151" s="8" t="str">
        <f ca="1">IFERROR(__xludf.DUMMYFUNCTION("""COMPUTED_VALUE"""),"-")</f>
        <v>-</v>
      </c>
      <c r="J151" s="8" t="str">
        <f ca="1">IFERROR(__xludf.DUMMYFUNCTION("""COMPUTED_VALUE"""),"Wartsila")</f>
        <v>Wartsila</v>
      </c>
      <c r="K151" s="8" t="str">
        <f ca="1">IFERROR(__xludf.DUMMYFUNCTION("""COMPUTED_VALUE"""),"-")</f>
        <v>-</v>
      </c>
      <c r="L151" s="8" t="str">
        <f ca="1">IFERROR(__xludf.DUMMYFUNCTION("""COMPUTED_VALUE"""),"Fitted")</f>
        <v>Fitted</v>
      </c>
      <c r="M151" s="8" t="str">
        <f ca="1">IFERROR(__xludf.DUMMYFUNCTION("""COMPUTED_VALUE"""),"CCS 7/27D")</f>
        <v>CCS 7/27D</v>
      </c>
      <c r="N151" s="8" t="str">
        <f ca="1">IFERROR(__xludf.DUMMYFUNCTION("""COMPUTED_VALUE"""),"Japan")</f>
        <v>Japan</v>
      </c>
      <c r="O151" s="8" t="str">
        <f ca="1">IFERROR(__xludf.DUMMYFUNCTION("""COMPUTED_VALUE"""),"B.offers")</f>
        <v>B.offers</v>
      </c>
    </row>
    <row r="152" spans="1:15" ht="15.75" customHeight="1" x14ac:dyDescent="0.25">
      <c r="A152" s="8" t="str">
        <f ca="1">IFERROR(__xludf.DUMMYFUNCTION("""COMPUTED_VALUE"""),"TA 42054/06")</f>
        <v>TA 42054/06</v>
      </c>
      <c r="B152" s="8" t="str">
        <f ca="1">IFERROR(__xludf.DUMMYFUNCTION("""COMPUTED_VALUE"""),"MR2 Oil/Chemical Tanker")</f>
        <v>MR2 Oil/Chemical Tanker</v>
      </c>
      <c r="C152" s="9">
        <f ca="1">IFERROR(__xludf.DUMMYFUNCTION("""COMPUTED_VALUE"""),42054)</f>
        <v>42054</v>
      </c>
      <c r="D152" s="8" t="str">
        <f ca="1">IFERROR(__xludf.DUMMYFUNCTION("""COMPUTED_VALUE"""),"2006-China")</f>
        <v>2006-China</v>
      </c>
      <c r="E152" s="8" t="str">
        <f ca="1">IFERROR(__xludf.DUMMYFUNCTION("""COMPUTED_VALUE"""),"187.8 x 31.50")</f>
        <v>187.8 x 31.50</v>
      </c>
      <c r="F152" s="8" t="str">
        <f ca="1">IFERROR(__xludf.DUMMYFUNCTION("""COMPUTED_VALUE"""),"14")</f>
        <v>14</v>
      </c>
      <c r="G152" s="8">
        <f ca="1">IFERROR(__xludf.DUMMYFUNCTION("""COMPUTED_VALUE"""),44646)</f>
        <v>44646</v>
      </c>
      <c r="H152" s="8" t="str">
        <f ca="1">IFERROR(__xludf.DUMMYFUNCTION("""COMPUTED_VALUE"""),"Y/Y Epoxy")</f>
        <v>Y/Y Epoxy</v>
      </c>
      <c r="I152" s="8" t="str">
        <f ca="1">IFERROR(__xludf.DUMMYFUNCTION("""COMPUTED_VALUE"""),"3 x 1200")</f>
        <v>3 x 1200</v>
      </c>
      <c r="J152" s="8" t="str">
        <f ca="1">IFERROR(__xludf.DUMMYFUNCTION("""COMPUTED_VALUE"""),"MAN-B&amp;W")</f>
        <v>MAN-B&amp;W</v>
      </c>
      <c r="K152" s="8" t="str">
        <f ca="1">IFERROR(__xludf.DUMMYFUNCTION("""COMPUTED_VALUE"""),"-")</f>
        <v>-</v>
      </c>
      <c r="L152" s="8" t="str">
        <f ca="1">IFERROR(__xludf.DUMMYFUNCTION("""COMPUTED_VALUE"""),"To be chkd")</f>
        <v>To be chkd</v>
      </c>
      <c r="M152" s="8" t="str">
        <f ca="1">IFERROR(__xludf.DUMMYFUNCTION("""COMPUTED_VALUE"""),"CCS 3/26D")</f>
        <v>CCS 3/26D</v>
      </c>
      <c r="N152" s="8" t="str">
        <f ca="1">IFERROR(__xludf.DUMMYFUNCTION("""COMPUTED_VALUE"""),"Fareast")</f>
        <v>Fareast</v>
      </c>
      <c r="O152" s="8" t="str">
        <f ca="1">IFERROR(__xludf.DUMMYFUNCTION("""COMPUTED_VALUE"""),"B.offers")</f>
        <v>B.offers</v>
      </c>
    </row>
    <row r="153" spans="1:15" ht="15.75" customHeight="1" x14ac:dyDescent="0.25">
      <c r="A153" s="8" t="str">
        <f ca="1">IFERROR(__xludf.DUMMYFUNCTION("""COMPUTED_VALUE"""),"TA 44999/07")</f>
        <v>TA 44999/07</v>
      </c>
      <c r="B153" s="8" t="str">
        <f ca="1">IFERROR(__xludf.DUMMYFUNCTION("""COMPUTED_VALUE"""),"MR2 CPP Tanker")</f>
        <v>MR2 CPP Tanker</v>
      </c>
      <c r="C153" s="9">
        <f ca="1">IFERROR(__xludf.DUMMYFUNCTION("""COMPUTED_VALUE"""),44999)</f>
        <v>44999</v>
      </c>
      <c r="D153" s="8" t="str">
        <f ca="1">IFERROR(__xludf.DUMMYFUNCTION("""COMPUTED_VALUE"""),"2007-China")</f>
        <v>2007-China</v>
      </c>
      <c r="E153" s="8" t="str">
        <f ca="1">IFERROR(__xludf.DUMMYFUNCTION("""COMPUTED_VALUE"""),"183.0 x 32.20")</f>
        <v>183.0 x 32.20</v>
      </c>
      <c r="F153" s="8" t="str">
        <f ca="1">IFERROR(__xludf.DUMMYFUNCTION("""COMPUTED_VALUE"""),"12")</f>
        <v>12</v>
      </c>
      <c r="G153" s="8" t="str">
        <f ca="1">IFERROR(__xludf.DUMMYFUNCTION("""COMPUTED_VALUE"""),"53306")</f>
        <v>53306</v>
      </c>
      <c r="H153" s="8" t="str">
        <f ca="1">IFERROR(__xludf.DUMMYFUNCTION("""COMPUTED_VALUE"""),"N/Y Epoxy")</f>
        <v>N/Y Epoxy</v>
      </c>
      <c r="I153" s="8" t="str">
        <f ca="1">IFERROR(__xludf.DUMMYFUNCTION("""COMPUTED_VALUE"""),"12 x 600 + 1 x 100 +.,.")</f>
        <v>12 x 600 + 1 x 100 +.,.</v>
      </c>
      <c r="J153" s="8" t="str">
        <f ca="1">IFERROR(__xludf.DUMMYFUNCTION("""COMPUTED_VALUE"""),"MAN-B&amp;W")</f>
        <v>MAN-B&amp;W</v>
      </c>
      <c r="K153" s="8" t="str">
        <f ca="1">IFERROR(__xludf.DUMMYFUNCTION("""COMPUTED_VALUE"""),"14-12.5 k")</f>
        <v>14-12.5 k</v>
      </c>
      <c r="L153" s="8" t="str">
        <f ca="1">IFERROR(__xludf.DUMMYFUNCTION("""COMPUTED_VALUE"""),"-")</f>
        <v>-</v>
      </c>
      <c r="M153" s="8" t="str">
        <f ca="1">IFERROR(__xludf.DUMMYFUNCTION("""COMPUTED_VALUE"""),"KR 12/27D")</f>
        <v>KR 12/27D</v>
      </c>
      <c r="N153" s="8" t="str">
        <f ca="1">IFERROR(__xludf.DUMMYFUNCTION("""COMPUTED_VALUE"""),"Fujairah-Durban")</f>
        <v>Fujairah-Durban</v>
      </c>
      <c r="O153" s="8" t="str">
        <f ca="1">IFERROR(__xludf.DUMMYFUNCTION("""COMPUTED_VALUE"""),"B.offers")</f>
        <v>B.offers</v>
      </c>
    </row>
    <row r="154" spans="1:15" ht="15.75" customHeight="1" x14ac:dyDescent="0.25">
      <c r="A154" s="8" t="str">
        <f ca="1">IFERROR(__xludf.DUMMYFUNCTION("""COMPUTED_VALUE"""),"TA 42036/05")</f>
        <v>TA 42036/05</v>
      </c>
      <c r="B154" s="8" t="str">
        <f ca="1">IFERROR(__xludf.DUMMYFUNCTION("""COMPUTED_VALUE"""),"MR2 Oil/Chemical Tanker")</f>
        <v>MR2 Oil/Chemical Tanker</v>
      </c>
      <c r="C154" s="9">
        <f ca="1">IFERROR(__xludf.DUMMYFUNCTION("""COMPUTED_VALUE"""),42036)</f>
        <v>42036</v>
      </c>
      <c r="D154" s="8" t="str">
        <f ca="1">IFERROR(__xludf.DUMMYFUNCTION("""COMPUTED_VALUE"""),"2005-China")</f>
        <v>2005-China</v>
      </c>
      <c r="E154" s="8" t="str">
        <f ca="1">IFERROR(__xludf.DUMMYFUNCTION("""COMPUTED_VALUE"""),"187.8 x 31.50")</f>
        <v>187.8 x 31.50</v>
      </c>
      <c r="F154" s="8" t="str">
        <f ca="1">IFERROR(__xludf.DUMMYFUNCTION("""COMPUTED_VALUE"""),"14")</f>
        <v>14</v>
      </c>
      <c r="G154" s="8">
        <f ca="1">IFERROR(__xludf.DUMMYFUNCTION("""COMPUTED_VALUE"""),44650)</f>
        <v>44650</v>
      </c>
      <c r="H154" s="8" t="str">
        <f ca="1">IFERROR(__xludf.DUMMYFUNCTION("""COMPUTED_VALUE"""),"Y/Y Epoxy")</f>
        <v>Y/Y Epoxy</v>
      </c>
      <c r="I154" s="8" t="str">
        <f ca="1">IFERROR(__xludf.DUMMYFUNCTION("""COMPUTED_VALUE"""),"3 x 1200")</f>
        <v>3 x 1200</v>
      </c>
      <c r="J154" s="8" t="str">
        <f ca="1">IFERROR(__xludf.DUMMYFUNCTION("""COMPUTED_VALUE"""),"B&amp;W")</f>
        <v>B&amp;W</v>
      </c>
      <c r="K154" s="8" t="str">
        <f ca="1">IFERROR(__xludf.DUMMYFUNCTION("""COMPUTED_VALUE"""),"-")</f>
        <v>-</v>
      </c>
      <c r="L154" s="8" t="str">
        <f ca="1">IFERROR(__xludf.DUMMYFUNCTION("""COMPUTED_VALUE"""),"To be chkd")</f>
        <v>To be chkd</v>
      </c>
      <c r="M154" s="8" t="str">
        <f ca="1">IFERROR(__xludf.DUMMYFUNCTION("""COMPUTED_VALUE"""),"CCS 12/25 D")</f>
        <v>CCS 12/25 D</v>
      </c>
      <c r="N154" s="8" t="str">
        <f ca="1">IFERROR(__xludf.DUMMYFUNCTION("""COMPUTED_VALUE"""),"Fareast")</f>
        <v>Fareast</v>
      </c>
      <c r="O154" s="8" t="str">
        <f ca="1">IFERROR(__xludf.DUMMYFUNCTION("""COMPUTED_VALUE"""),"B.offers")</f>
        <v>B.offers</v>
      </c>
    </row>
    <row r="155" spans="1:15" ht="15.75" customHeight="1" x14ac:dyDescent="0.25">
      <c r="A155" s="8" t="str">
        <f ca="1">IFERROR(__xludf.DUMMYFUNCTION("""COMPUTED_VALUE"""),"TA 40128/03")</f>
        <v>TA 40128/03</v>
      </c>
      <c r="B155" s="8" t="str">
        <f ca="1">IFERROR(__xludf.DUMMYFUNCTION("""COMPUTED_VALUE"""),"MR1 Prod/Chem Tk IMO 2+3")</f>
        <v>MR1 Prod/Chem Tk IMO 2+3</v>
      </c>
      <c r="C155" s="9">
        <f ca="1">IFERROR(__xludf.DUMMYFUNCTION("""COMPUTED_VALUE"""),40128)</f>
        <v>40128</v>
      </c>
      <c r="D155" s="8" t="str">
        <f ca="1">IFERROR(__xludf.DUMMYFUNCTION("""COMPUTED_VALUE"""),"2003-Korea")</f>
        <v>2003-Korea</v>
      </c>
      <c r="E155" s="8" t="str">
        <f ca="1">IFERROR(__xludf.DUMMYFUNCTION("""COMPUTED_VALUE"""),"176.0 x 31.00")</f>
        <v>176.0 x 31.00</v>
      </c>
      <c r="F155" s="8" t="str">
        <f ca="1">IFERROR(__xludf.DUMMYFUNCTION("""COMPUTED_VALUE"""),"14")</f>
        <v>14</v>
      </c>
      <c r="G155" s="8">
        <f ca="1">IFERROR(__xludf.DUMMYFUNCTION("""COMPUTED_VALUE"""),42564)</f>
        <v>42564</v>
      </c>
      <c r="H155" s="8" t="str">
        <f ca="1">IFERROR(__xludf.DUMMYFUNCTION("""COMPUTED_VALUE"""),"Y/Y Epoxy")</f>
        <v>Y/Y Epoxy</v>
      </c>
      <c r="I155" s="8" t="str">
        <f ca="1">IFERROR(__xludf.DUMMYFUNCTION("""COMPUTED_VALUE"""),"12 x 500")</f>
        <v>12 x 500</v>
      </c>
      <c r="J155" s="8" t="str">
        <f ca="1">IFERROR(__xludf.DUMMYFUNCTION("""COMPUTED_VALUE"""),"MAN-B&amp;W")</f>
        <v>MAN-B&amp;W</v>
      </c>
      <c r="K155" s="8" t="str">
        <f ca="1">IFERROR(__xludf.DUMMYFUNCTION("""COMPUTED_VALUE"""),"-")</f>
        <v>-</v>
      </c>
      <c r="L155" s="8" t="str">
        <f ca="1">IFERROR(__xludf.DUMMYFUNCTION("""COMPUTED_VALUE"""),"Fitted")</f>
        <v>Fitted</v>
      </c>
      <c r="M155" s="8" t="str">
        <f ca="1">IFERROR(__xludf.DUMMYFUNCTION("""COMPUTED_VALUE"""),"AB 1/28D")</f>
        <v>AB 1/28D</v>
      </c>
      <c r="N155" s="8" t="str">
        <f ca="1">IFERROR(__xludf.DUMMYFUNCTION("""COMPUTED_VALUE"""),"India")</f>
        <v>India</v>
      </c>
      <c r="O155" s="8" t="str">
        <f ca="1">IFERROR(__xludf.DUMMYFUNCTION("""COMPUTED_VALUE"""),"9.5 m")</f>
        <v>9.5 m</v>
      </c>
    </row>
    <row r="156" spans="1:15" ht="15.75" customHeight="1" x14ac:dyDescent="0.25">
      <c r="A156" s="8" t="str">
        <f ca="1">IFERROR(__xludf.DUMMYFUNCTION("""COMPUTED_VALUE"""),"TA 40085/06")</f>
        <v>TA 40085/06</v>
      </c>
      <c r="B156" s="8" t="str">
        <f ca="1">IFERROR(__xludf.DUMMYFUNCTION("""COMPUTED_VALUE"""),"MR1 Chem  IMO 3")</f>
        <v>MR1 Chem  IMO 3</v>
      </c>
      <c r="C156" s="9">
        <f ca="1">IFERROR(__xludf.DUMMYFUNCTION("""COMPUTED_VALUE"""),40085)</f>
        <v>40085</v>
      </c>
      <c r="D156" s="8" t="str">
        <f ca="1">IFERROR(__xludf.DUMMYFUNCTION("""COMPUTED_VALUE"""),"2006-Korea")</f>
        <v>2006-Korea</v>
      </c>
      <c r="E156" s="8" t="str">
        <f ca="1">IFERROR(__xludf.DUMMYFUNCTION("""COMPUTED_VALUE"""),"175.9 x 31.00")</f>
        <v>175.9 x 31.00</v>
      </c>
      <c r="F156" s="8" t="str">
        <f ca="1">IFERROR(__xludf.DUMMYFUNCTION("""COMPUTED_VALUE"""),"14")</f>
        <v>14</v>
      </c>
      <c r="G156" s="8">
        <f ca="1">IFERROR(__xludf.DUMMYFUNCTION("""COMPUTED_VALUE"""),44420)</f>
        <v>44420</v>
      </c>
      <c r="H156" s="8" t="str">
        <f ca="1">IFERROR(__xludf.DUMMYFUNCTION("""COMPUTED_VALUE"""),"Y stst/Y Epoxy")</f>
        <v>Y stst/Y Epoxy</v>
      </c>
      <c r="I156" s="8" t="str">
        <f ca="1">IFERROR(__xludf.DUMMYFUNCTION("""COMPUTED_VALUE"""),"12 pumps")</f>
        <v>12 pumps</v>
      </c>
      <c r="J156" s="8" t="str">
        <f ca="1">IFERROR(__xludf.DUMMYFUNCTION("""COMPUTED_VALUE"""),"MAN-B&amp;W")</f>
        <v>MAN-B&amp;W</v>
      </c>
      <c r="K156" s="8" t="str">
        <f ca="1">IFERROR(__xludf.DUMMYFUNCTION("""COMPUTED_VALUE"""),"-")</f>
        <v>-</v>
      </c>
      <c r="L156" s="8" t="str">
        <f ca="1">IFERROR(__xludf.DUMMYFUNCTION("""COMPUTED_VALUE"""),"To be chkd")</f>
        <v>To be chkd</v>
      </c>
      <c r="M156" s="8" t="str">
        <f ca="1">IFERROR(__xludf.DUMMYFUNCTION("""COMPUTED_VALUE"""),"RI 3/26D")</f>
        <v>RI 3/26D</v>
      </c>
      <c r="N156" s="8" t="str">
        <f ca="1">IFERROR(__xludf.DUMMYFUNCTION("""COMPUTED_VALUE"""),"Med")</f>
        <v>Med</v>
      </c>
      <c r="O156" s="8" t="str">
        <f ca="1">IFERROR(__xludf.DUMMYFUNCTION("""COMPUTED_VALUE"""),"B.offers")</f>
        <v>B.offers</v>
      </c>
    </row>
    <row r="157" spans="1:15" ht="15.75" customHeight="1" x14ac:dyDescent="0.25">
      <c r="A157" s="8" t="str">
        <f ca="1">IFERROR(__xludf.DUMMYFUNCTION("""COMPUTED_VALUE"""),"TA 40083/03")</f>
        <v>TA 40083/03</v>
      </c>
      <c r="B157" s="8" t="str">
        <f ca="1">IFERROR(__xludf.DUMMYFUNCTION("""COMPUTED_VALUE"""),"MR1 Shallow Draft CPP Tk")</f>
        <v>MR1 Shallow Draft CPP Tk</v>
      </c>
      <c r="C157" s="9">
        <f ca="1">IFERROR(__xludf.DUMMYFUNCTION("""COMPUTED_VALUE"""),40083)</f>
        <v>40083</v>
      </c>
      <c r="D157" s="8" t="str">
        <f ca="1">IFERROR(__xludf.DUMMYFUNCTION("""COMPUTED_VALUE"""),"2003-Korea")</f>
        <v>2003-Korea</v>
      </c>
      <c r="E157" s="8" t="str">
        <f ca="1">IFERROR(__xludf.DUMMYFUNCTION("""COMPUTED_VALUE"""),"175.9 x 31.03")</f>
        <v>175.9 x 31.03</v>
      </c>
      <c r="F157" s="8" t="str">
        <f ca="1">IFERROR(__xludf.DUMMYFUNCTION("""COMPUTED_VALUE"""),"15")</f>
        <v>15</v>
      </c>
      <c r="G157" s="8">
        <f ca="1">IFERROR(__xludf.DUMMYFUNCTION("""COMPUTED_VALUE"""),42847)</f>
        <v>42847</v>
      </c>
      <c r="H157" s="8" t="str">
        <f ca="1">IFERROR(__xludf.DUMMYFUNCTION("""COMPUTED_VALUE"""),"Y stst/Y Epoxy")</f>
        <v>Y stst/Y Epoxy</v>
      </c>
      <c r="I157" s="8" t="str">
        <f ca="1">IFERROR(__xludf.DUMMYFUNCTION("""COMPUTED_VALUE"""),"12 x 500")</f>
        <v>12 x 500</v>
      </c>
      <c r="J157" s="8" t="str">
        <f ca="1">IFERROR(__xludf.DUMMYFUNCTION("""COMPUTED_VALUE"""),"B&amp;W")</f>
        <v>B&amp;W</v>
      </c>
      <c r="K157" s="8" t="str">
        <f ca="1">IFERROR(__xludf.DUMMYFUNCTION("""COMPUTED_VALUE"""),"-")</f>
        <v>-</v>
      </c>
      <c r="L157" s="8" t="str">
        <f ca="1">IFERROR(__xludf.DUMMYFUNCTION("""COMPUTED_VALUE"""),"To be chkd")</f>
        <v>To be chkd</v>
      </c>
      <c r="M157" s="8" t="str">
        <f ca="1">IFERROR(__xludf.DUMMYFUNCTION("""COMPUTED_VALUE"""),"BV 2.28D")</f>
        <v>BV 2.28D</v>
      </c>
      <c r="N157" s="8" t="str">
        <f ca="1">IFERROR(__xludf.DUMMYFUNCTION("""COMPUTED_VALUE"""),"W.Africa")</f>
        <v>W.Africa</v>
      </c>
      <c r="O157" s="8" t="str">
        <f ca="1">IFERROR(__xludf.DUMMYFUNCTION("""COMPUTED_VALUE"""),"B.offers")</f>
        <v>B.offers</v>
      </c>
    </row>
    <row r="158" spans="1:15" ht="15.75" customHeight="1" x14ac:dyDescent="0.25">
      <c r="A158" s="8" t="str">
        <f ca="1">IFERROR(__xludf.DUMMYFUNCTION("""COMPUTED_VALUE"""),"TA 40057/06")</f>
        <v>TA 40057/06</v>
      </c>
      <c r="B158" s="8" t="str">
        <f ca="1">IFERROR(__xludf.DUMMYFUNCTION("""COMPUTED_VALUE"""),"MR1 Chem IMO 3")</f>
        <v>MR1 Chem IMO 3</v>
      </c>
      <c r="C158" s="9">
        <f ca="1">IFERROR(__xludf.DUMMYFUNCTION("""COMPUTED_VALUE"""),40057)</f>
        <v>40057</v>
      </c>
      <c r="D158" s="8" t="str">
        <f ca="1">IFERROR(__xludf.DUMMYFUNCTION("""COMPUTED_VALUE"""),"2006-Korea")</f>
        <v>2006-Korea</v>
      </c>
      <c r="E158" s="8" t="str">
        <f ca="1">IFERROR(__xludf.DUMMYFUNCTION("""COMPUTED_VALUE"""),"175.9 x 31.00")</f>
        <v>175.9 x 31.00</v>
      </c>
      <c r="F158" s="8" t="str">
        <f ca="1">IFERROR(__xludf.DUMMYFUNCTION("""COMPUTED_VALUE"""),"14")</f>
        <v>14</v>
      </c>
      <c r="G158" s="8">
        <f ca="1">IFERROR(__xludf.DUMMYFUNCTION("""COMPUTED_VALUE"""),44378)</f>
        <v>44378</v>
      </c>
      <c r="H158" s="8" t="str">
        <f ca="1">IFERROR(__xludf.DUMMYFUNCTION("""COMPUTED_VALUE"""),"Y stst/Y Epoxy ")</f>
        <v xml:space="preserve">Y stst/Y Epoxy </v>
      </c>
      <c r="I158" s="8" t="str">
        <f ca="1">IFERROR(__xludf.DUMMYFUNCTION("""COMPUTED_VALUE"""),"12 pumps")</f>
        <v>12 pumps</v>
      </c>
      <c r="J158" s="8" t="str">
        <f ca="1">IFERROR(__xludf.DUMMYFUNCTION("""COMPUTED_VALUE"""),"MAN-B&amp;W")</f>
        <v>MAN-B&amp;W</v>
      </c>
      <c r="K158" s="8" t="str">
        <f ca="1">IFERROR(__xludf.DUMMYFUNCTION("""COMPUTED_VALUE"""),"-")</f>
        <v>-</v>
      </c>
      <c r="L158" s="8" t="str">
        <f ca="1">IFERROR(__xludf.DUMMYFUNCTION("""COMPUTED_VALUE"""),"To be chkd")</f>
        <v>To be chkd</v>
      </c>
      <c r="M158" s="8" t="str">
        <f ca="1">IFERROR(__xludf.DUMMYFUNCTION("""COMPUTED_VALUE"""),"RI 10/26D")</f>
        <v>RI 10/26D</v>
      </c>
      <c r="N158" s="8" t="str">
        <f ca="1">IFERROR(__xludf.DUMMYFUNCTION("""COMPUTED_VALUE"""),"Med")</f>
        <v>Med</v>
      </c>
      <c r="O158" s="8" t="str">
        <f ca="1">IFERROR(__xludf.DUMMYFUNCTION("""COMPUTED_VALUE"""),"B.offers")</f>
        <v>B.offers</v>
      </c>
    </row>
    <row r="159" spans="1:15" ht="15.75" customHeight="1" x14ac:dyDescent="0.25">
      <c r="A159" s="8" t="str">
        <f ca="1">IFERROR(__xludf.DUMMYFUNCTION("""COMPUTED_VALUE"""),"TA 40000/05")</f>
        <v>TA 40000/05</v>
      </c>
      <c r="B159" s="8" t="str">
        <f ca="1">IFERROR(__xludf.DUMMYFUNCTION("""COMPUTED_VALUE"""),"MR1 Oil/Che IMO 3")</f>
        <v>MR1 Oil/Che IMO 3</v>
      </c>
      <c r="C159" s="9">
        <f ca="1">IFERROR(__xludf.DUMMYFUNCTION("""COMPUTED_VALUE"""),40000)</f>
        <v>40000</v>
      </c>
      <c r="D159" s="8" t="str">
        <f ca="1">IFERROR(__xludf.DUMMYFUNCTION("""COMPUTED_VALUE"""),"2005-China")</f>
        <v>2005-China</v>
      </c>
      <c r="E159" s="8" t="str">
        <f ca="1">IFERROR(__xludf.DUMMYFUNCTION("""COMPUTED_VALUE"""),"176.0 x 31.00")</f>
        <v>176.0 x 31.00</v>
      </c>
      <c r="F159" s="8" t="str">
        <f ca="1">IFERROR(__xludf.DUMMYFUNCTION("""COMPUTED_VALUE"""),"-")</f>
        <v>-</v>
      </c>
      <c r="G159" s="8" t="str">
        <f ca="1">IFERROR(__xludf.DUMMYFUNCTION("""COMPUTED_VALUE"""),"-")</f>
        <v>-</v>
      </c>
      <c r="H159" s="8" t="str">
        <f ca="1">IFERROR(__xludf.DUMMYFUNCTION("""COMPUTED_VALUE"""),"Y stst/Y Epoxy")</f>
        <v>Y stst/Y Epoxy</v>
      </c>
      <c r="I159" s="8" t="str">
        <f ca="1">IFERROR(__xludf.DUMMYFUNCTION("""COMPUTED_VALUE"""),"12 x 500")</f>
        <v>12 x 500</v>
      </c>
      <c r="J159" s="8" t="str">
        <f ca="1">IFERROR(__xludf.DUMMYFUNCTION("""COMPUTED_VALUE"""),"-")</f>
        <v>-</v>
      </c>
      <c r="K159" s="8" t="str">
        <f ca="1">IFERROR(__xludf.DUMMYFUNCTION("""COMPUTED_VALUE"""),"-")</f>
        <v>-</v>
      </c>
      <c r="L159" s="8" t="str">
        <f ca="1">IFERROR(__xludf.DUMMYFUNCTION("""COMPUTED_VALUE"""),"Fitted")</f>
        <v>Fitted</v>
      </c>
      <c r="M159" s="8" t="str">
        <f ca="1">IFERROR(__xludf.DUMMYFUNCTION("""COMPUTED_VALUE"""),"BV 6/25D")</f>
        <v>BV 6/25D</v>
      </c>
      <c r="N159" s="8" t="str">
        <f ca="1">IFERROR(__xludf.DUMMYFUNCTION("""COMPUTED_VALUE"""),"Med")</f>
        <v>Med</v>
      </c>
      <c r="O159" s="8" t="str">
        <f ca="1">IFERROR(__xludf.DUMMYFUNCTION("""COMPUTED_VALUE"""),"17.0 m")</f>
        <v>17.0 m</v>
      </c>
    </row>
    <row r="160" spans="1:15" ht="15.75" customHeight="1" x14ac:dyDescent="0.25">
      <c r="A160" s="8" t="str">
        <f ca="1">IFERROR(__xludf.DUMMYFUNCTION("""COMPUTED_VALUE"""),"TA 39999/05")</f>
        <v>TA 39999/05</v>
      </c>
      <c r="B160" s="8" t="str">
        <f ca="1">IFERROR(__xludf.DUMMYFUNCTION("""COMPUTED_VALUE"""),"MR1 Oil/Chem. Ice 1B")</f>
        <v>MR1 Oil/Chem. Ice 1B</v>
      </c>
      <c r="C160" s="9">
        <f ca="1">IFERROR(__xludf.DUMMYFUNCTION("""COMPUTED_VALUE"""),39999)</f>
        <v>39999</v>
      </c>
      <c r="D160" s="8" t="str">
        <f ca="1">IFERROR(__xludf.DUMMYFUNCTION("""COMPUTED_VALUE"""),"2005-Korea")</f>
        <v>2005-Korea</v>
      </c>
      <c r="E160" s="8" t="str">
        <f ca="1">IFERROR(__xludf.DUMMYFUNCTION("""COMPUTED_VALUE"""),"176.0 x 31.00")</f>
        <v>176.0 x 31.00</v>
      </c>
      <c r="F160" s="8" t="str">
        <f ca="1">IFERROR(__xludf.DUMMYFUNCTION("""COMPUTED_VALUE"""),"-")</f>
        <v>-</v>
      </c>
      <c r="G160" s="8" t="str">
        <f ca="1">IFERROR(__xludf.DUMMYFUNCTION("""COMPUTED_VALUE"""),"-")</f>
        <v>-</v>
      </c>
      <c r="H160" s="8" t="str">
        <f ca="1">IFERROR(__xludf.DUMMYFUNCTION("""COMPUTED_VALUE"""),"Y/Y Epoxy")</f>
        <v>Y/Y Epoxy</v>
      </c>
      <c r="I160" s="8" t="str">
        <f ca="1">IFERROR(__xludf.DUMMYFUNCTION("""COMPUTED_VALUE"""),"12x450+2x100")</f>
        <v>12x450+2x100</v>
      </c>
      <c r="J160" s="8" t="str">
        <f ca="1">IFERROR(__xludf.DUMMYFUNCTION("""COMPUTED_VALUE"""),"B&amp;W")</f>
        <v>B&amp;W</v>
      </c>
      <c r="K160" s="8" t="str">
        <f ca="1">IFERROR(__xludf.DUMMYFUNCTION("""COMPUTED_VALUE"""),"-")</f>
        <v>-</v>
      </c>
      <c r="L160" s="8" t="str">
        <f ca="1">IFERROR(__xludf.DUMMYFUNCTION("""COMPUTED_VALUE"""),"To be chkd")</f>
        <v>To be chkd</v>
      </c>
      <c r="M160" s="8" t="str">
        <f ca="1">IFERROR(__xludf.DUMMYFUNCTION("""COMPUTED_VALUE"""),"RI 1.25D")</f>
        <v>RI 1.25D</v>
      </c>
      <c r="N160" s="8" t="str">
        <f ca="1">IFERROR(__xludf.DUMMYFUNCTION("""COMPUTED_VALUE"""),"Med")</f>
        <v>Med</v>
      </c>
      <c r="O160" s="8" t="str">
        <f ca="1">IFERROR(__xludf.DUMMYFUNCTION("""COMPUTED_VALUE"""),"B.offers")</f>
        <v>B.offers</v>
      </c>
    </row>
    <row r="161" spans="1:15" ht="15.75" customHeight="1" x14ac:dyDescent="0.25">
      <c r="A161" s="8" t="str">
        <f ca="1">IFERROR(__xludf.DUMMYFUNCTION("""COMPUTED_VALUE"""),"TA 39975/03")</f>
        <v>TA 39975/03</v>
      </c>
      <c r="B161" s="8" t="str">
        <f ca="1">IFERROR(__xludf.DUMMYFUNCTION("""COMPUTED_VALUE"""),"MR1 Oil/Chemical")</f>
        <v>MR1 Oil/Chemical</v>
      </c>
      <c r="C161" s="9">
        <f ca="1">IFERROR(__xludf.DUMMYFUNCTION("""COMPUTED_VALUE"""),39975)</f>
        <v>39975</v>
      </c>
      <c r="D161" s="8" t="str">
        <f ca="1">IFERROR(__xludf.DUMMYFUNCTION("""COMPUTED_VALUE"""),"2003-Korea")</f>
        <v>2003-Korea</v>
      </c>
      <c r="E161" s="8" t="str">
        <f ca="1">IFERROR(__xludf.DUMMYFUNCTION("""COMPUTED_VALUE"""),"175.9 x 31.00")</f>
        <v>175.9 x 31.00</v>
      </c>
      <c r="F161" s="8" t="str">
        <f ca="1">IFERROR(__xludf.DUMMYFUNCTION("""COMPUTED_VALUE"""),"14")</f>
        <v>14</v>
      </c>
      <c r="G161" s="8">
        <f ca="1">IFERROR(__xludf.DUMMYFUNCTION("""COMPUTED_VALUE"""),42685)</f>
        <v>42685</v>
      </c>
      <c r="H161" s="8" t="str">
        <f ca="1">IFERROR(__xludf.DUMMYFUNCTION("""COMPUTED_VALUE"""),"?/Y Epoxy")</f>
        <v>?/Y Epoxy</v>
      </c>
      <c r="I161" s="8" t="str">
        <f ca="1">IFERROR(__xludf.DUMMYFUNCTION("""COMPUTED_VALUE"""),"12 x 450")</f>
        <v>12 x 450</v>
      </c>
      <c r="J161" s="8" t="str">
        <f ca="1">IFERROR(__xludf.DUMMYFUNCTION("""COMPUTED_VALUE"""),"B&amp;W")</f>
        <v>B&amp;W</v>
      </c>
      <c r="K161" s="8" t="str">
        <f ca="1">IFERROR(__xludf.DUMMYFUNCTION("""COMPUTED_VALUE"""),"-")</f>
        <v>-</v>
      </c>
      <c r="L161" s="8" t="str">
        <f ca="1">IFERROR(__xludf.DUMMYFUNCTION("""COMPUTED_VALUE"""),"Fitted")</f>
        <v>Fitted</v>
      </c>
      <c r="M161" s="8" t="str">
        <f ca="1">IFERROR(__xludf.DUMMYFUNCTION("""COMPUTED_VALUE"""),"AB 12.27D")</f>
        <v>AB 12.27D</v>
      </c>
      <c r="N161" s="8" t="str">
        <f ca="1">IFERROR(__xludf.DUMMYFUNCTION("""COMPUTED_VALUE"""),"B.Sea/Med")</f>
        <v>B.Sea/Med</v>
      </c>
      <c r="O161" s="8" t="str">
        <f ca="1">IFERROR(__xludf.DUMMYFUNCTION("""COMPUTED_VALUE"""),"B.offers")</f>
        <v>B.offers</v>
      </c>
    </row>
    <row r="162" spans="1:15" ht="15.75" customHeight="1" x14ac:dyDescent="0.25">
      <c r="A162" s="8" t="str">
        <f ca="1">IFERROR(__xludf.DUMMYFUNCTION("""COMPUTED_VALUE"""),"TA 39378/07A")</f>
        <v>TA 39378/07A</v>
      </c>
      <c r="B162" s="8" t="str">
        <f ca="1">IFERROR(__xludf.DUMMYFUNCTION("""COMPUTED_VALUE"""),"MR1/Chemical IMO II")</f>
        <v>MR1/Chemical IMO II</v>
      </c>
      <c r="C162" s="9">
        <f ca="1">IFERROR(__xludf.DUMMYFUNCTION("""COMPUTED_VALUE"""),39378)</f>
        <v>39378</v>
      </c>
      <c r="D162" s="8" t="str">
        <f ca="1">IFERROR(__xludf.DUMMYFUNCTION("""COMPUTED_VALUE"""),"2007-Korea")</f>
        <v>2007-Korea</v>
      </c>
      <c r="E162" s="8" t="str">
        <f ca="1">IFERROR(__xludf.DUMMYFUNCTION("""COMPUTED_VALUE"""),"182.5 x 27.30")</f>
        <v>182.5 x 27.30</v>
      </c>
      <c r="F162" s="8" t="str">
        <f ca="1">IFERROR(__xludf.DUMMYFUNCTION("""COMPUTED_VALUE"""),"14")</f>
        <v>14</v>
      </c>
      <c r="G162" s="8">
        <f ca="1">IFERROR(__xludf.DUMMYFUNCTION("""COMPUTED_VALUE"""),41138)</f>
        <v>41138</v>
      </c>
      <c r="H162" s="8" t="str">
        <f ca="1">IFERROR(__xludf.DUMMYFUNCTION("""COMPUTED_VALUE"""),"Y stst/Y Epoxy")</f>
        <v>Y stst/Y Epoxy</v>
      </c>
      <c r="I162" s="8" t="str">
        <f ca="1">IFERROR(__xludf.DUMMYFUNCTION("""COMPUTED_VALUE"""),"2 x 320")</f>
        <v>2 x 320</v>
      </c>
      <c r="J162" s="8" t="str">
        <f ca="1">IFERROR(__xludf.DUMMYFUNCTION("""COMPUTED_VALUE"""),"MAN-B&amp;W")</f>
        <v>MAN-B&amp;W</v>
      </c>
      <c r="K162" s="8" t="str">
        <f ca="1">IFERROR(__xludf.DUMMYFUNCTION("""COMPUTED_VALUE"""),"-")</f>
        <v>-</v>
      </c>
      <c r="L162" s="8" t="str">
        <f ca="1">IFERROR(__xludf.DUMMYFUNCTION("""COMPUTED_VALUE"""),"To be chkd")</f>
        <v>To be chkd</v>
      </c>
      <c r="M162" s="8" t="str">
        <f ca="1">IFERROR(__xludf.DUMMYFUNCTION("""COMPUTED_VALUE"""),"NV 4/27D")</f>
        <v>NV 4/27D</v>
      </c>
      <c r="N162" s="8" t="str">
        <f ca="1">IFERROR(__xludf.DUMMYFUNCTION("""COMPUTED_VALUE"""),"Med")</f>
        <v>Med</v>
      </c>
      <c r="O162" s="8" t="str">
        <f ca="1">IFERROR(__xludf.DUMMYFUNCTION("""COMPUTED_VALUE"""),"B.offers")</f>
        <v>B.offers</v>
      </c>
    </row>
    <row r="163" spans="1:15" ht="15.75" customHeight="1" x14ac:dyDescent="0.25">
      <c r="A163" s="8" t="str">
        <f ca="1">IFERROR(__xludf.DUMMYFUNCTION("""COMPUTED_VALUE"""),"TA 39378/07B")</f>
        <v>TA 39378/07B</v>
      </c>
      <c r="B163" s="8" t="str">
        <f ca="1">IFERROR(__xludf.DUMMYFUNCTION("""COMPUTED_VALUE"""),"MR1/Chemical IMO II")</f>
        <v>MR1/Chemical IMO II</v>
      </c>
      <c r="C163" s="9">
        <f ca="1">IFERROR(__xludf.DUMMYFUNCTION("""COMPUTED_VALUE"""),39378)</f>
        <v>39378</v>
      </c>
      <c r="D163" s="8" t="str">
        <f ca="1">IFERROR(__xludf.DUMMYFUNCTION("""COMPUTED_VALUE"""),"2007-Korea")</f>
        <v>2007-Korea</v>
      </c>
      <c r="E163" s="8" t="str">
        <f ca="1">IFERROR(__xludf.DUMMYFUNCTION("""COMPUTED_VALUE"""),"182.5 x 27.30")</f>
        <v>182.5 x 27.30</v>
      </c>
      <c r="F163" s="8" t="str">
        <f ca="1">IFERROR(__xludf.DUMMYFUNCTION("""COMPUTED_VALUE"""),"14")</f>
        <v>14</v>
      </c>
      <c r="G163" s="8">
        <f ca="1">IFERROR(__xludf.DUMMYFUNCTION("""COMPUTED_VALUE"""),41138)</f>
        <v>41138</v>
      </c>
      <c r="H163" s="8" t="str">
        <f ca="1">IFERROR(__xludf.DUMMYFUNCTION("""COMPUTED_VALUE"""),"Y stst/Y Epoxy")</f>
        <v>Y stst/Y Epoxy</v>
      </c>
      <c r="I163" s="8" t="str">
        <f ca="1">IFERROR(__xludf.DUMMYFUNCTION("""COMPUTED_VALUE"""),"2 x 320")</f>
        <v>2 x 320</v>
      </c>
      <c r="J163" s="8" t="str">
        <f ca="1">IFERROR(__xludf.DUMMYFUNCTION("""COMPUTED_VALUE"""),"MAN-B&amp;W")</f>
        <v>MAN-B&amp;W</v>
      </c>
      <c r="K163" s="8" t="str">
        <f ca="1">IFERROR(__xludf.DUMMYFUNCTION("""COMPUTED_VALUE"""),"-")</f>
        <v>-</v>
      </c>
      <c r="L163" s="8" t="str">
        <f ca="1">IFERROR(__xludf.DUMMYFUNCTION("""COMPUTED_VALUE"""),"To be chkd")</f>
        <v>To be chkd</v>
      </c>
      <c r="M163" s="8" t="str">
        <f ca="1">IFERROR(__xludf.DUMMYFUNCTION("""COMPUTED_VALUE"""),"NV 3/27D")</f>
        <v>NV 3/27D</v>
      </c>
      <c r="N163" s="8" t="str">
        <f ca="1">IFERROR(__xludf.DUMMYFUNCTION("""COMPUTED_VALUE"""),"Med")</f>
        <v>Med</v>
      </c>
      <c r="O163" s="8" t="str">
        <f ca="1">IFERROR(__xludf.DUMMYFUNCTION("""COMPUTED_VALUE"""),"B.offers")</f>
        <v>B.offers</v>
      </c>
    </row>
    <row r="164" spans="1:15" ht="15.75" customHeight="1" x14ac:dyDescent="0.25">
      <c r="A164" s="8" t="str">
        <f ca="1">IFERROR(__xludf.DUMMYFUNCTION("""COMPUTED_VALUE"""),"TA 38289/08")</f>
        <v>TA 38289/08</v>
      </c>
      <c r="B164" s="8" t="str">
        <f ca="1">IFERROR(__xludf.DUMMYFUNCTION("""COMPUTED_VALUE"""),"MR1 Tk IMO 2+3    ")</f>
        <v xml:space="preserve">MR1 Tk IMO 2+3    </v>
      </c>
      <c r="C164" s="9">
        <f ca="1">IFERROR(__xludf.DUMMYFUNCTION("""COMPUTED_VALUE"""),38289)</f>
        <v>38289</v>
      </c>
      <c r="D164" s="8" t="str">
        <f ca="1">IFERROR(__xludf.DUMMYFUNCTION("""COMPUTED_VALUE"""),"2008-China")</f>
        <v>2008-China</v>
      </c>
      <c r="E164" s="8" t="str">
        <f ca="1">IFERROR(__xludf.DUMMYFUNCTION("""COMPUTED_VALUE"""),"182.8 x 27.40")</f>
        <v>182.8 x 27.40</v>
      </c>
      <c r="F164" s="8" t="str">
        <f ca="1">IFERROR(__xludf.DUMMYFUNCTION("""COMPUTED_VALUE"""),"12")</f>
        <v>12</v>
      </c>
      <c r="G164" s="8">
        <f ca="1">IFERROR(__xludf.DUMMYFUNCTION("""COMPUTED_VALUE"""),43250)</f>
        <v>43250</v>
      </c>
      <c r="H164" s="8" t="str">
        <f ca="1">IFERROR(__xludf.DUMMYFUNCTION("""COMPUTED_VALUE"""),"Y/Y Epoxy")</f>
        <v>Y/Y Epoxy</v>
      </c>
      <c r="I164" s="8" t="str">
        <f ca="1">IFERROR(__xludf.DUMMYFUNCTION("""COMPUTED_VALUE"""),"10x540+2x300+")</f>
        <v>10x540+2x300+</v>
      </c>
      <c r="J164" s="8" t="str">
        <f ca="1">IFERROR(__xludf.DUMMYFUNCTION("""COMPUTED_VALUE"""),"MAN-B&amp;W")</f>
        <v>MAN-B&amp;W</v>
      </c>
      <c r="K164" s="8" t="str">
        <f ca="1">IFERROR(__xludf.DUMMYFUNCTION("""COMPUTED_VALUE"""),"-")</f>
        <v>-</v>
      </c>
      <c r="L164" s="8" t="str">
        <f ca="1">IFERROR(__xludf.DUMMYFUNCTION("""COMPUTED_VALUE"""),"Fitted")</f>
        <v>Fitted</v>
      </c>
      <c r="M164" s="8" t="str">
        <f ca="1">IFERROR(__xludf.DUMMYFUNCTION("""COMPUTED_VALUE"""),"LR 2024P")</f>
        <v>LR 2024P</v>
      </c>
      <c r="N164" s="8" t="str">
        <f ca="1">IFERROR(__xludf.DUMMYFUNCTION("""COMPUTED_VALUE"""),"Med/B.Sea")</f>
        <v>Med/B.Sea</v>
      </c>
      <c r="O164" s="8" t="str">
        <f ca="1">IFERROR(__xludf.DUMMYFUNCTION("""COMPUTED_VALUE"""),"B.offers")</f>
        <v>B.offers</v>
      </c>
    </row>
    <row r="165" spans="1:15" ht="15.75" customHeight="1" x14ac:dyDescent="0.25">
      <c r="A165" s="8" t="str">
        <f ca="1">IFERROR(__xludf.DUMMYFUNCTION("""COMPUTED_VALUE"""),"TA 38000/26")</f>
        <v>TA 38000/26</v>
      </c>
      <c r="B165" s="8" t="str">
        <f ca="1">IFERROR(__xludf.DUMMYFUNCTION("""COMPUTED_VALUE"""),"MR1 Oil/Chem IMO 2+3")</f>
        <v>MR1 Oil/Chem IMO 2+3</v>
      </c>
      <c r="C165" s="9">
        <f ca="1">IFERROR(__xludf.DUMMYFUNCTION("""COMPUTED_VALUE"""),38000)</f>
        <v>38000</v>
      </c>
      <c r="D165" s="8" t="str">
        <f ca="1">IFERROR(__xludf.DUMMYFUNCTION("""COMPUTED_VALUE"""),"2026-China")</f>
        <v>2026-China</v>
      </c>
      <c r="E165" s="8" t="str">
        <f ca="1">IFERROR(__xludf.DUMMYFUNCTION("""COMPUTED_VALUE"""),"182.9 x 32.00")</f>
        <v>182.9 x 32.00</v>
      </c>
      <c r="F165" s="8" t="str">
        <f ca="1">IFERROR(__xludf.DUMMYFUNCTION("""COMPUTED_VALUE"""),"-")</f>
        <v>-</v>
      </c>
      <c r="G165" s="8" t="str">
        <f ca="1">IFERROR(__xludf.DUMMYFUNCTION("""COMPUTED_VALUE"""),"-")</f>
        <v>-</v>
      </c>
      <c r="H165" s="8" t="str">
        <f ca="1">IFERROR(__xludf.DUMMYFUNCTION("""COMPUTED_VALUE"""),"Deck Heater")</f>
        <v>Deck Heater</v>
      </c>
      <c r="I165" s="8" t="str">
        <f ca="1">IFERROR(__xludf.DUMMYFUNCTION("""COMPUTED_VALUE"""),"12x600+2x300")</f>
        <v>12x600+2x300</v>
      </c>
      <c r="J165" s="8" t="str">
        <f ca="1">IFERROR(__xludf.DUMMYFUNCTION("""COMPUTED_VALUE"""),"MAN")</f>
        <v>MAN</v>
      </c>
      <c r="K165" s="8" t="str">
        <f ca="1">IFERROR(__xludf.DUMMYFUNCTION("""COMPUTED_VALUE"""),"14.5 kn")</f>
        <v>14.5 kn</v>
      </c>
      <c r="L165" s="8" t="str">
        <f ca="1">IFERROR(__xludf.DUMMYFUNCTION("""COMPUTED_VALUE"""),"Fitted")</f>
        <v>Fitted</v>
      </c>
      <c r="M165" s="8" t="str">
        <f ca="1">IFERROR(__xludf.DUMMYFUNCTION("""COMPUTED_VALUE"""),"LR Class")</f>
        <v>LR Class</v>
      </c>
      <c r="N165" s="8" t="str">
        <f ca="1">IFERROR(__xludf.DUMMYFUNCTION("""COMPUTED_VALUE"""),"China")</f>
        <v>China</v>
      </c>
      <c r="O165" s="8" t="str">
        <f ca="1">IFERROR(__xludf.DUMMYFUNCTION("""COMPUTED_VALUE"""),"B.offers")</f>
        <v>B.offers</v>
      </c>
    </row>
    <row r="166" spans="1:15" ht="15.75" customHeight="1" x14ac:dyDescent="0.25">
      <c r="A166" s="8" t="str">
        <f ca="1">IFERROR(__xludf.DUMMYFUNCTION("""COMPUTED_VALUE"""),"TA 38000/27")</f>
        <v>TA 38000/27</v>
      </c>
      <c r="B166" s="8" t="str">
        <f ca="1">IFERROR(__xludf.DUMMYFUNCTION("""COMPUTED_VALUE"""),"MR1 Oil/Chem.IMO 2+3")</f>
        <v>MR1 Oil/Chem.IMO 2+3</v>
      </c>
      <c r="C166" s="9">
        <f ca="1">IFERROR(__xludf.DUMMYFUNCTION("""COMPUTED_VALUE"""),38000)</f>
        <v>38000</v>
      </c>
      <c r="D166" s="8" t="str">
        <f ca="1">IFERROR(__xludf.DUMMYFUNCTION("""COMPUTED_VALUE"""),"2027-China")</f>
        <v>2027-China</v>
      </c>
      <c r="E166" s="8" t="str">
        <f ca="1">IFERROR(__xludf.DUMMYFUNCTION("""COMPUTED_VALUE"""),"182.9 x 32.01")</f>
        <v>182.9 x 32.01</v>
      </c>
      <c r="F166" s="8" t="str">
        <f ca="1">IFERROR(__xludf.DUMMYFUNCTION("""COMPUTED_VALUE"""),"-")</f>
        <v>-</v>
      </c>
      <c r="G166" s="8" t="str">
        <f ca="1">IFERROR(__xludf.DUMMYFUNCTION("""COMPUTED_VALUE"""),"-")</f>
        <v>-</v>
      </c>
      <c r="H166" s="8" t="str">
        <f ca="1">IFERROR(__xludf.DUMMYFUNCTION("""COMPUTED_VALUE"""),"Deck Heater")</f>
        <v>Deck Heater</v>
      </c>
      <c r="I166" s="8" t="str">
        <f ca="1">IFERROR(__xludf.DUMMYFUNCTION("""COMPUTED_VALUE"""),"12x600+2x301")</f>
        <v>12x600+2x301</v>
      </c>
      <c r="J166" s="8" t="str">
        <f ca="1">IFERROR(__xludf.DUMMYFUNCTION("""COMPUTED_VALUE"""),"MAN")</f>
        <v>MAN</v>
      </c>
      <c r="K166" s="8" t="str">
        <f ca="1">IFERROR(__xludf.DUMMYFUNCTION("""COMPUTED_VALUE"""),"14.5 kn")</f>
        <v>14.5 kn</v>
      </c>
      <c r="L166" s="8" t="str">
        <f ca="1">IFERROR(__xludf.DUMMYFUNCTION("""COMPUTED_VALUE"""),"Fitted")</f>
        <v>Fitted</v>
      </c>
      <c r="M166" s="8" t="str">
        <f ca="1">IFERROR(__xludf.DUMMYFUNCTION("""COMPUTED_VALUE"""),"LR Class")</f>
        <v>LR Class</v>
      </c>
      <c r="N166" s="8" t="str">
        <f ca="1">IFERROR(__xludf.DUMMYFUNCTION("""COMPUTED_VALUE"""),"China")</f>
        <v>China</v>
      </c>
      <c r="O166" s="8" t="str">
        <f ca="1">IFERROR(__xludf.DUMMYFUNCTION("""COMPUTED_VALUE"""),"B.offers")</f>
        <v>B.offers</v>
      </c>
    </row>
    <row r="167" spans="1:15" ht="15.75" customHeight="1" x14ac:dyDescent="0.25">
      <c r="A167" s="8" t="str">
        <f ca="1">IFERROR(__xludf.DUMMYFUNCTION("""COMPUTED_VALUE"""),"TA 37562/06")</f>
        <v>TA 37562/06</v>
      </c>
      <c r="B167" s="8" t="str">
        <f ca="1">IFERROR(__xludf.DUMMYFUNCTION("""COMPUTED_VALUE"""),"MR1 Oil/Chem.Ice 1A")</f>
        <v>MR1 Oil/Chem.Ice 1A</v>
      </c>
      <c r="C167" s="9">
        <f ca="1">IFERROR(__xludf.DUMMYFUNCTION("""COMPUTED_VALUE"""),37562)</f>
        <v>37562</v>
      </c>
      <c r="D167" s="8" t="str">
        <f ca="1">IFERROR(__xludf.DUMMYFUNCTION("""COMPUTED_VALUE"""),"2006-Korea")</f>
        <v>2006-Korea</v>
      </c>
      <c r="E167" s="8" t="str">
        <f ca="1">IFERROR(__xludf.DUMMYFUNCTION("""COMPUTED_VALUE"""),"182.5 x 27.40")</f>
        <v>182.5 x 27.40</v>
      </c>
      <c r="F167" s="8" t="str">
        <f ca="1">IFERROR(__xludf.DUMMYFUNCTION("""COMPUTED_VALUE"""),"14")</f>
        <v>14</v>
      </c>
      <c r="G167" s="8">
        <f ca="1">IFERROR(__xludf.DUMMYFUNCTION("""COMPUTED_VALUE"""),41614)</f>
        <v>41614</v>
      </c>
      <c r="H167" s="8" t="str">
        <f ca="1">IFERROR(__xludf.DUMMYFUNCTION("""COMPUTED_VALUE"""),"Y/Y Epoxy")</f>
        <v>Y/Y Epoxy</v>
      </c>
      <c r="I167" s="8" t="str">
        <f ca="1">IFERROR(__xludf.DUMMYFUNCTION("""COMPUTED_VALUE"""),"10x500+2x300")</f>
        <v>10x500+2x300</v>
      </c>
      <c r="J167" s="8" t="str">
        <f ca="1">IFERROR(__xludf.DUMMYFUNCTION("""COMPUTED_VALUE"""),"MAN-B&amp;W")</f>
        <v>MAN-B&amp;W</v>
      </c>
      <c r="K167" s="8" t="str">
        <f ca="1">IFERROR(__xludf.DUMMYFUNCTION("""COMPUTED_VALUE"""),"12.5 kn")</f>
        <v>12.5 kn</v>
      </c>
      <c r="L167" s="8" t="str">
        <f ca="1">IFERROR(__xludf.DUMMYFUNCTION("""COMPUTED_VALUE"""),"To be chkd")</f>
        <v>To be chkd</v>
      </c>
      <c r="M167" s="8" t="str">
        <f ca="1">IFERROR(__xludf.DUMMYFUNCTION("""COMPUTED_VALUE"""),"RINA Ice 1A")</f>
        <v>RINA Ice 1A</v>
      </c>
      <c r="N167" s="8" t="str">
        <f ca="1">IFERROR(__xludf.DUMMYFUNCTION("""COMPUTED_VALUE"""),"W.Africa")</f>
        <v>W.Africa</v>
      </c>
      <c r="O167" s="8" t="str">
        <f ca="1">IFERROR(__xludf.DUMMYFUNCTION("""COMPUTED_VALUE"""),"B.offers")</f>
        <v>B.offers</v>
      </c>
    </row>
    <row r="168" spans="1:15" ht="15.75" customHeight="1" x14ac:dyDescent="0.25">
      <c r="A168" s="8" t="str">
        <f ca="1">IFERROR(__xludf.DUMMYFUNCTION("""COMPUTED_VALUE"""),"TA 37432/04")</f>
        <v>TA 37432/04</v>
      </c>
      <c r="B168" s="8" t="str">
        <f ca="1">IFERROR(__xludf.DUMMYFUNCTION("""COMPUTED_VALUE"""),"MR1 Oil/Prods/Chem.Tk")</f>
        <v>MR1 Oil/Prods/Chem.Tk</v>
      </c>
      <c r="C168" s="9">
        <f ca="1">IFERROR(__xludf.DUMMYFUNCTION("""COMPUTED_VALUE"""),37432)</f>
        <v>37432</v>
      </c>
      <c r="D168" s="8" t="str">
        <f ca="1">IFERROR(__xludf.DUMMYFUNCTION("""COMPUTED_VALUE"""),"2004-Korea")</f>
        <v>2004-Korea</v>
      </c>
      <c r="E168" s="8" t="str">
        <f ca="1">IFERROR(__xludf.DUMMYFUNCTION("""COMPUTED_VALUE"""),"176.0 x 31.00")</f>
        <v>176.0 x 31.00</v>
      </c>
      <c r="F168" s="8" t="str">
        <f ca="1">IFERROR(__xludf.DUMMYFUNCTION("""COMPUTED_VALUE"""),"14")</f>
        <v>14</v>
      </c>
      <c r="G168" s="8">
        <f ca="1">IFERROR(__xludf.DUMMYFUNCTION("""COMPUTED_VALUE"""),42671)</f>
        <v>42671</v>
      </c>
      <c r="H168" s="8" t="str">
        <f ca="1">IFERROR(__xludf.DUMMYFUNCTION("""COMPUTED_VALUE"""),"IMO 2+3")</f>
        <v>IMO 2+3</v>
      </c>
      <c r="I168" s="8" t="str">
        <f ca="1">IFERROR(__xludf.DUMMYFUNCTION("""COMPUTED_VALUE"""),"12 x 500")</f>
        <v>12 x 500</v>
      </c>
      <c r="J168" s="8" t="str">
        <f ca="1">IFERROR(__xludf.DUMMYFUNCTION("""COMPUTED_VALUE"""),"B&amp;W")</f>
        <v>B&amp;W</v>
      </c>
      <c r="K168" s="8" t="str">
        <f ca="1">IFERROR(__xludf.DUMMYFUNCTION("""COMPUTED_VALUE"""),"14.5k/29.5t")</f>
        <v>14.5k/29.5t</v>
      </c>
      <c r="L168" s="8" t="str">
        <f ca="1">IFERROR(__xludf.DUMMYFUNCTION("""COMPUTED_VALUE"""),"To be chkd")</f>
        <v>To be chkd</v>
      </c>
      <c r="M168" s="8" t="str">
        <f ca="1">IFERROR(__xludf.DUMMYFUNCTION("""COMPUTED_VALUE"""),"LR 9.24")</f>
        <v>LR 9.24</v>
      </c>
      <c r="N168" s="8" t="str">
        <f ca="1">IFERROR(__xludf.DUMMYFUNCTION("""COMPUTED_VALUE"""),"B.Sea/Med")</f>
        <v>B.Sea/Med</v>
      </c>
      <c r="O168" s="8" t="str">
        <f ca="1">IFERROR(__xludf.DUMMYFUNCTION("""COMPUTED_VALUE"""),"B.offers")</f>
        <v>B.offers</v>
      </c>
    </row>
    <row r="169" spans="1:15" ht="15.75" customHeight="1" x14ac:dyDescent="0.25">
      <c r="A169" s="8" t="str">
        <f ca="1">IFERROR(__xludf.DUMMYFUNCTION("""COMPUTED_VALUE"""),"TA 37418/00")</f>
        <v>TA 37418/00</v>
      </c>
      <c r="B169" s="8" t="str">
        <f ca="1">IFERROR(__xludf.DUMMYFUNCTION("""COMPUTED_VALUE"""),"MR1 Oil/Chem.IMO 3 Tanker")</f>
        <v>MR1 Oil/Chem.IMO 3 Tanker</v>
      </c>
      <c r="C169" s="9">
        <f ca="1">IFERROR(__xludf.DUMMYFUNCTION("""COMPUTED_VALUE"""),37418)</f>
        <v>37418</v>
      </c>
      <c r="D169" s="8" t="str">
        <f ca="1">IFERROR(__xludf.DUMMYFUNCTION("""COMPUTED_VALUE"""),"2000-Korea")</f>
        <v>2000-Korea</v>
      </c>
      <c r="E169" s="8" t="str">
        <f ca="1">IFERROR(__xludf.DUMMYFUNCTION("""COMPUTED_VALUE"""),"182.5 x 27.38")</f>
        <v>182.5 x 27.38</v>
      </c>
      <c r="F169" s="8" t="str">
        <f ca="1">IFERROR(__xludf.DUMMYFUNCTION("""COMPUTED_VALUE"""),"14 ")</f>
        <v xml:space="preserve">14 </v>
      </c>
      <c r="G169" s="8">
        <f ca="1">IFERROR(__xludf.DUMMYFUNCTION("""COMPUTED_VALUE"""),41389)</f>
        <v>41389</v>
      </c>
      <c r="H169" s="8" t="str">
        <f ca="1">IFERROR(__xludf.DUMMYFUNCTION("""COMPUTED_VALUE"""),"Y/Y Phenolic")</f>
        <v>Y/Y Phenolic</v>
      </c>
      <c r="I169" s="8" t="str">
        <f ca="1">IFERROR(__xludf.DUMMYFUNCTION("""COMPUTED_VALUE"""),"10 x 450+2x300")</f>
        <v>10 x 450+2x300</v>
      </c>
      <c r="J169" s="8" t="str">
        <f ca="1">IFERROR(__xludf.DUMMYFUNCTION("""COMPUTED_VALUE"""),"B&amp;W")</f>
        <v>B&amp;W</v>
      </c>
      <c r="K169" s="8" t="str">
        <f ca="1">IFERROR(__xludf.DUMMYFUNCTION("""COMPUTED_VALUE"""),"-")</f>
        <v>-</v>
      </c>
      <c r="L169" s="8" t="str">
        <f ca="1">IFERROR(__xludf.DUMMYFUNCTION("""COMPUTED_VALUE"""),"To be chkd")</f>
        <v>To be chkd</v>
      </c>
      <c r="M169" s="8" t="str">
        <f ca="1">IFERROR(__xludf.DUMMYFUNCTION("""COMPUTED_VALUE"""),"IRC 6/25D")</f>
        <v>IRC 6/25D</v>
      </c>
      <c r="N169" s="8" t="str">
        <f ca="1">IFERROR(__xludf.DUMMYFUNCTION("""COMPUTED_VALUE"""),"Med")</f>
        <v>Med</v>
      </c>
      <c r="O169" s="8" t="str">
        <f ca="1">IFERROR(__xludf.DUMMYFUNCTION("""COMPUTED_VALUE"""),"B.offers")</f>
        <v>B.offers</v>
      </c>
    </row>
    <row r="170" spans="1:15" ht="15.75" customHeight="1" x14ac:dyDescent="0.25">
      <c r="A170" s="8" t="str">
        <f ca="1">IFERROR(__xludf.DUMMYFUNCTION("""COMPUTED_VALUE"""),"TA 37320/02")</f>
        <v>TA 37320/02</v>
      </c>
      <c r="B170" s="8" t="str">
        <f ca="1">IFERROR(__xludf.DUMMYFUNCTION("""COMPUTED_VALUE"""),"MR1 DPP Chemical Tanker")</f>
        <v>MR1 DPP Chemical Tanker</v>
      </c>
      <c r="C170" s="9">
        <f ca="1">IFERROR(__xludf.DUMMYFUNCTION("""COMPUTED_VALUE"""),37320)</f>
        <v>37320</v>
      </c>
      <c r="D170" s="8" t="str">
        <f ca="1">IFERROR(__xludf.DUMMYFUNCTION("""COMPUTED_VALUE"""),"2002-China")</f>
        <v>2002-China</v>
      </c>
      <c r="E170" s="8" t="str">
        <f ca="1">IFERROR(__xludf.DUMMYFUNCTION("""COMPUTED_VALUE"""),"180.0 x 32.03")</f>
        <v>180.0 x 32.03</v>
      </c>
      <c r="F170" s="8" t="str">
        <f ca="1">IFERROR(__xludf.DUMMYFUNCTION("""COMPUTED_VALUE"""),"14")</f>
        <v>14</v>
      </c>
      <c r="G170" s="8">
        <f ca="1">IFERROR(__xludf.DUMMYFUNCTION("""COMPUTED_VALUE"""),44614)</f>
        <v>44614</v>
      </c>
      <c r="H170" s="8" t="str">
        <f ca="1">IFERROR(__xludf.DUMMYFUNCTION("""COMPUTED_VALUE"""),"Y st.st./Y Epoxy")</f>
        <v>Y st.st./Y Epoxy</v>
      </c>
      <c r="I170" s="8" t="str">
        <f ca="1">IFERROR(__xludf.DUMMYFUNCTION("""COMPUTED_VALUE"""),"12 x 450 ")</f>
        <v xml:space="preserve">12 x 450 </v>
      </c>
      <c r="J170" s="8" t="str">
        <f ca="1">IFERROR(__xludf.DUMMYFUNCTION("""COMPUTED_VALUE"""),"MAN-B&amp;W")</f>
        <v>MAN-B&amp;W</v>
      </c>
      <c r="K170" s="8" t="str">
        <f ca="1">IFERROR(__xludf.DUMMYFUNCTION("""COMPUTED_VALUE"""),"-")</f>
        <v>-</v>
      </c>
      <c r="L170" s="8" t="str">
        <f ca="1">IFERROR(__xludf.DUMMYFUNCTION("""COMPUTED_VALUE"""),"Fitted")</f>
        <v>Fitted</v>
      </c>
      <c r="M170" s="8" t="str">
        <f ca="1">IFERROR(__xludf.DUMMYFUNCTION("""COMPUTED_VALUE"""),"RINA 8/27D")</f>
        <v>RINA 8/27D</v>
      </c>
      <c r="N170" s="8" t="str">
        <f ca="1">IFERROR(__xludf.DUMMYFUNCTION("""COMPUTED_VALUE"""),"WCS.America")</f>
        <v>WCS.America</v>
      </c>
      <c r="O170" s="8" t="str">
        <f ca="1">IFERROR(__xludf.DUMMYFUNCTION("""COMPUTED_VALUE"""),"B.offers")</f>
        <v>B.offers</v>
      </c>
    </row>
    <row r="171" spans="1:15" ht="15.75" customHeight="1" x14ac:dyDescent="0.25">
      <c r="A171" s="8" t="str">
        <f ca="1">IFERROR(__xludf.DUMMYFUNCTION("""COMPUTED_VALUE"""),"TA 37300/03")</f>
        <v>TA 37300/03</v>
      </c>
      <c r="B171" s="8" t="str">
        <f ca="1">IFERROR(__xludf.DUMMYFUNCTION("""COMPUTED_VALUE"""),"MR1 DPP Ice 1B Tanker")</f>
        <v>MR1 DPP Ice 1B Tanker</v>
      </c>
      <c r="C171" s="9">
        <f ca="1">IFERROR(__xludf.DUMMYFUNCTION("""COMPUTED_VALUE"""),37300)</f>
        <v>37300</v>
      </c>
      <c r="D171" s="8" t="str">
        <f ca="1">IFERROR(__xludf.DUMMYFUNCTION("""COMPUTED_VALUE"""),"2003-Korea")</f>
        <v>2003-Korea</v>
      </c>
      <c r="E171" s="8" t="str">
        <f ca="1">IFERROR(__xludf.DUMMYFUNCTION("""COMPUTED_VALUE"""),"182.5 x 27.34")</f>
        <v>182.5 x 27.34</v>
      </c>
      <c r="F171" s="8" t="str">
        <f ca="1">IFERROR(__xludf.DUMMYFUNCTION("""COMPUTED_VALUE"""),"12")</f>
        <v>12</v>
      </c>
      <c r="G171" s="8">
        <f ca="1">IFERROR(__xludf.DUMMYFUNCTION("""COMPUTED_VALUE"""),41343)</f>
        <v>41343</v>
      </c>
      <c r="H171" s="8" t="str">
        <f ca="1">IFERROR(__xludf.DUMMYFUNCTION("""COMPUTED_VALUE"""),"N/Y Epoxy")</f>
        <v>N/Y Epoxy</v>
      </c>
      <c r="I171" s="8" t="str">
        <f ca="1">IFERROR(__xludf.DUMMYFUNCTION("""COMPUTED_VALUE"""),"10 x 500")</f>
        <v>10 x 500</v>
      </c>
      <c r="J171" s="8" t="str">
        <f ca="1">IFERROR(__xludf.DUMMYFUNCTION("""COMPUTED_VALUE"""),"B&amp;W")</f>
        <v>B&amp;W</v>
      </c>
      <c r="K171" s="8" t="str">
        <f ca="1">IFERROR(__xludf.DUMMYFUNCTION("""COMPUTED_VALUE"""),"-")</f>
        <v>-</v>
      </c>
      <c r="L171" s="8" t="str">
        <f ca="1">IFERROR(__xludf.DUMMYFUNCTION("""COMPUTED_VALUE"""),"Fitted")</f>
        <v>Fitted</v>
      </c>
      <c r="M171" s="8" t="str">
        <f ca="1">IFERROR(__xludf.DUMMYFUNCTION("""COMPUTED_VALUE"""),"RI 5.28D")</f>
        <v>RI 5.28D</v>
      </c>
      <c r="N171" s="8" t="str">
        <f ca="1">IFERROR(__xludf.DUMMYFUNCTION("""COMPUTED_VALUE"""),"Baltic")</f>
        <v>Baltic</v>
      </c>
      <c r="O171" s="8" t="str">
        <f ca="1">IFERROR(__xludf.DUMMYFUNCTION("""COMPUTED_VALUE"""),"B.offers")</f>
        <v>B.offers</v>
      </c>
    </row>
    <row r="172" spans="1:15" ht="15.75" customHeight="1" x14ac:dyDescent="0.25">
      <c r="A172" s="8" t="str">
        <f ca="1">IFERROR(__xludf.DUMMYFUNCTION("""COMPUTED_VALUE"""),"TA 37293/08")</f>
        <v>TA 37293/08</v>
      </c>
      <c r="B172" s="8" t="str">
        <f ca="1">IFERROR(__xludf.DUMMYFUNCTION("""COMPUTED_VALUE"""),"MR1 Oil/Prod Ice 1A Tanker")</f>
        <v>MR1 Oil/Prod Ice 1A Tanker</v>
      </c>
      <c r="C172" s="9">
        <f ca="1">IFERROR(__xludf.DUMMYFUNCTION("""COMPUTED_VALUE"""),37293)</f>
        <v>37293</v>
      </c>
      <c r="D172" s="8" t="str">
        <f ca="1">IFERROR(__xludf.DUMMYFUNCTION("""COMPUTED_VALUE"""),"2008-Korea")</f>
        <v>2008-Korea</v>
      </c>
      <c r="E172" s="8" t="str">
        <f ca="1">IFERROR(__xludf.DUMMYFUNCTION("""COMPUTED_VALUE"""),"184.0 x 27.40")</f>
        <v>184.0 x 27.40</v>
      </c>
      <c r="F172" s="8"/>
      <c r="G172" s="8"/>
      <c r="H172" s="8" t="str">
        <f ca="1">IFERROR(__xludf.DUMMYFUNCTION("""COMPUTED_VALUE"""),"N/Y Epoxy")</f>
        <v>N/Y Epoxy</v>
      </c>
      <c r="I172" s="8" t="str">
        <f ca="1">IFERROR(__xludf.DUMMYFUNCTION("""COMPUTED_VALUE"""),"2 X 300+10 x 500")</f>
        <v>2 X 300+10 x 500</v>
      </c>
      <c r="J172" s="8" t="str">
        <f ca="1">IFERROR(__xludf.DUMMYFUNCTION("""COMPUTED_VALUE"""),"MAN-B&amp;W")</f>
        <v>MAN-B&amp;W</v>
      </c>
      <c r="K172" s="8"/>
      <c r="L172" s="8" t="str">
        <f ca="1">IFERROR(__xludf.DUMMYFUNCTION("""COMPUTED_VALUE"""),"To be chkd")</f>
        <v>To be chkd</v>
      </c>
      <c r="M172" s="8" t="str">
        <f ca="1">IFERROR(__xludf.DUMMYFUNCTION("""COMPUTED_VALUE"""),"LR 7/28D")</f>
        <v>LR 7/28D</v>
      </c>
      <c r="N172" s="8" t="str">
        <f ca="1">IFERROR(__xludf.DUMMYFUNCTION("""COMPUTED_VALUE"""),"TC 1.2026")</f>
        <v>TC 1.2026</v>
      </c>
      <c r="O172" s="8" t="str">
        <f ca="1">IFERROR(__xludf.DUMMYFUNCTION("""COMPUTED_VALUE"""),"15.5-15 m")</f>
        <v>15.5-15 m</v>
      </c>
    </row>
    <row r="173" spans="1:15" ht="15.75" customHeight="1" x14ac:dyDescent="0.25">
      <c r="A173" s="8" t="str">
        <f ca="1">IFERROR(__xludf.DUMMYFUNCTION("""COMPUTED_VALUE"""),"TA 37280/08")</f>
        <v>TA 37280/08</v>
      </c>
      <c r="B173" s="8" t="str">
        <f ca="1">IFERROR(__xludf.DUMMYFUNCTION("""COMPUTED_VALUE"""),"MR1 Oil/Prod Ice 1A Tanker")</f>
        <v>MR1 Oil/Prod Ice 1A Tanker</v>
      </c>
      <c r="C173" s="9">
        <f ca="1">IFERROR(__xludf.DUMMYFUNCTION("""COMPUTED_VALUE"""),37280)</f>
        <v>37280</v>
      </c>
      <c r="D173" s="8" t="str">
        <f ca="1">IFERROR(__xludf.DUMMYFUNCTION("""COMPUTED_VALUE"""),"2008-Korea")</f>
        <v>2008-Korea</v>
      </c>
      <c r="E173" s="8" t="str">
        <f ca="1">IFERROR(__xludf.DUMMYFUNCTION("""COMPUTED_VALUE"""),"184.0 x 27.40")</f>
        <v>184.0 x 27.40</v>
      </c>
      <c r="F173" s="8"/>
      <c r="G173" s="8"/>
      <c r="H173" s="8" t="str">
        <f ca="1">IFERROR(__xludf.DUMMYFUNCTION("""COMPUTED_VALUE"""),"N/Y Epoxy")</f>
        <v>N/Y Epoxy</v>
      </c>
      <c r="I173" s="8" t="str">
        <f ca="1">IFERROR(__xludf.DUMMYFUNCTION("""COMPUTED_VALUE"""),"2 x 300 + 10 x 500")</f>
        <v>2 x 300 + 10 x 500</v>
      </c>
      <c r="J173" s="8" t="str">
        <f ca="1">IFERROR(__xludf.DUMMYFUNCTION("""COMPUTED_VALUE"""),"MAN-B&amp;W")</f>
        <v>MAN-B&amp;W</v>
      </c>
      <c r="K173" s="8"/>
      <c r="L173" s="8" t="str">
        <f ca="1">IFERROR(__xludf.DUMMYFUNCTION("""COMPUTED_VALUE"""),"To be chkd")</f>
        <v>To be chkd</v>
      </c>
      <c r="M173" s="8" t="str">
        <f ca="1">IFERROR(__xludf.DUMMYFUNCTION("""COMPUTED_VALUE"""),"RI 5/28D")</f>
        <v>RI 5/28D</v>
      </c>
      <c r="N173" s="8" t="str">
        <f ca="1">IFERROR(__xludf.DUMMYFUNCTION("""COMPUTED_VALUE"""),"TC 3.2026")</f>
        <v>TC 3.2026</v>
      </c>
      <c r="O173" s="8" t="str">
        <f ca="1">IFERROR(__xludf.DUMMYFUNCTION("""COMPUTED_VALUE"""),"15.5-15 m")</f>
        <v>15.5-15 m</v>
      </c>
    </row>
    <row r="174" spans="1:15" ht="15.75" customHeight="1" x14ac:dyDescent="0.25">
      <c r="A174" s="8" t="str">
        <f ca="1">IFERROR(__xludf.DUMMYFUNCTION("""COMPUTED_VALUE"""),"TA 37272/01")</f>
        <v>TA 37272/01</v>
      </c>
      <c r="B174" s="8" t="str">
        <f ca="1">IFERROR(__xludf.DUMMYFUNCTION("""COMPUTED_VALUE"""),"MR1 DPP IMO 3 Chem. Tanker")</f>
        <v>MR1 DPP IMO 3 Chem. Tanker</v>
      </c>
      <c r="C174" s="9">
        <f ca="1">IFERROR(__xludf.DUMMYFUNCTION("""COMPUTED_VALUE"""),37272)</f>
        <v>37272</v>
      </c>
      <c r="D174" s="8" t="str">
        <f ca="1">IFERROR(__xludf.DUMMYFUNCTION("""COMPUTED_VALUE"""),"2001-Korea")</f>
        <v>2001-Korea</v>
      </c>
      <c r="E174" s="8" t="str">
        <f ca="1">IFERROR(__xludf.DUMMYFUNCTION("""COMPUTED_VALUE"""),"182.5 x 27.34")</f>
        <v>182.5 x 27.34</v>
      </c>
      <c r="F174" s="8" t="str">
        <f ca="1">IFERROR(__xludf.DUMMYFUNCTION("""COMPUTED_VALUE"""),"14")</f>
        <v>14</v>
      </c>
      <c r="G174" s="8">
        <f ca="1">IFERROR(__xludf.DUMMYFUNCTION("""COMPUTED_VALUE"""),42207)</f>
        <v>42207</v>
      </c>
      <c r="H174" s="8" t="str">
        <f ca="1">IFERROR(__xludf.DUMMYFUNCTION("""COMPUTED_VALUE"""),"Y stst/Y Epoxy")</f>
        <v>Y stst/Y Epoxy</v>
      </c>
      <c r="I174" s="8" t="str">
        <f ca="1">IFERROR(__xludf.DUMMYFUNCTION("""COMPUTED_VALUE"""),"2x300+10x500")</f>
        <v>2x300+10x500</v>
      </c>
      <c r="J174" s="8" t="str">
        <f ca="1">IFERROR(__xludf.DUMMYFUNCTION("""COMPUTED_VALUE"""),"MAN-B&amp;W")</f>
        <v>MAN-B&amp;W</v>
      </c>
      <c r="K174" s="8" t="str">
        <f ca="1">IFERROR(__xludf.DUMMYFUNCTION("""COMPUTED_VALUE"""),"-")</f>
        <v>-</v>
      </c>
      <c r="L174" s="8" t="str">
        <f ca="1">IFERROR(__xludf.DUMMYFUNCTION("""COMPUTED_VALUE"""),"To be chkd")</f>
        <v>To be chkd</v>
      </c>
      <c r="M174" s="8" t="str">
        <f ca="1">IFERROR(__xludf.DUMMYFUNCTION("""COMPUTED_VALUE"""),"AB 7.26D")</f>
        <v>AB 7.26D</v>
      </c>
      <c r="N174" s="8" t="str">
        <f ca="1">IFERROR(__xludf.DUMMYFUNCTION("""COMPUTED_VALUE"""),"Med/B.Sea")</f>
        <v>Med/B.Sea</v>
      </c>
      <c r="O174" s="8" t="str">
        <f ca="1">IFERROR(__xludf.DUMMYFUNCTION("""COMPUTED_VALUE"""),"9.8-9.5 m")</f>
        <v>9.8-9.5 m</v>
      </c>
    </row>
    <row r="175" spans="1:15" ht="15.75" customHeight="1" x14ac:dyDescent="0.25">
      <c r="A175" s="8" t="str">
        <f ca="1">IFERROR(__xludf.DUMMYFUNCTION("""COMPUTED_VALUE"""),"TA 37269/05")</f>
        <v>TA 37269/05</v>
      </c>
      <c r="B175" s="8" t="str">
        <f ca="1">IFERROR(__xludf.DUMMYFUNCTION("""COMPUTED_VALUE"""),"MR1 Oil/Chemical Tanker")</f>
        <v>MR1 Oil/Chemical Tanker</v>
      </c>
      <c r="C175" s="9">
        <f ca="1">IFERROR(__xludf.DUMMYFUNCTION("""COMPUTED_VALUE"""),37269)</f>
        <v>37269</v>
      </c>
      <c r="D175" s="8" t="str">
        <f ca="1">IFERROR(__xludf.DUMMYFUNCTION("""COMPUTED_VALUE"""),"2005-Korea")</f>
        <v>2005-Korea</v>
      </c>
      <c r="E175" s="8" t="str">
        <f ca="1">IFERROR(__xludf.DUMMYFUNCTION("""COMPUTED_VALUE"""),"182.55 x 27.34")</f>
        <v>182.55 x 27.34</v>
      </c>
      <c r="F175" s="8" t="str">
        <f ca="1">IFERROR(__xludf.DUMMYFUNCTION("""COMPUTED_VALUE"""),"14")</f>
        <v>14</v>
      </c>
      <c r="G175" s="8" t="str">
        <f ca="1">IFERROR(__xludf.DUMMYFUNCTION("""COMPUTED_VALUE"""),"41328")</f>
        <v>41328</v>
      </c>
      <c r="H175" s="8" t="str">
        <f ca="1">IFERROR(__xludf.DUMMYFUNCTION("""COMPUTED_VALUE"""),"?/Y Epoxy")</f>
        <v>?/Y Epoxy</v>
      </c>
      <c r="I175" s="8" t="str">
        <f ca="1">IFERROR(__xludf.DUMMYFUNCTION("""COMPUTED_VALUE"""),"10 x 500 + 2 x 300")</f>
        <v>10 x 500 + 2 x 300</v>
      </c>
      <c r="J175" s="8" t="str">
        <f ca="1">IFERROR(__xludf.DUMMYFUNCTION("""COMPUTED_VALUE"""),"MAN-B&amp;W")</f>
        <v>MAN-B&amp;W</v>
      </c>
      <c r="K175" s="8"/>
      <c r="L175" s="8" t="str">
        <f ca="1">IFERROR(__xludf.DUMMYFUNCTION("""COMPUTED_VALUE"""),"None")</f>
        <v>None</v>
      </c>
      <c r="M175" s="8" t="str">
        <f ca="1">IFERROR(__xludf.DUMMYFUNCTION("""COMPUTED_VALUE"""),"LR 9/25D")</f>
        <v>LR 9/25D</v>
      </c>
      <c r="N175" s="8" t="str">
        <f ca="1">IFERROR(__xludf.DUMMYFUNCTION("""COMPUTED_VALUE"""),"Peru")</f>
        <v>Peru</v>
      </c>
      <c r="O175" s="8" t="str">
        <f ca="1">IFERROR(__xludf.DUMMYFUNCTION("""COMPUTED_VALUE"""),"B.offers")</f>
        <v>B.offers</v>
      </c>
    </row>
    <row r="176" spans="1:15" ht="15.75" customHeight="1" x14ac:dyDescent="0.25">
      <c r="A176" s="8" t="str">
        <f ca="1">IFERROR(__xludf.DUMMYFUNCTION("""COMPUTED_VALUE"""),"TA 37163/03")</f>
        <v>TA 37163/03</v>
      </c>
      <c r="B176" s="8" t="str">
        <f ca="1">IFERROR(__xludf.DUMMYFUNCTION("""COMPUTED_VALUE"""),"MR1 Oil/Chemical")</f>
        <v>MR1 Oil/Chemical</v>
      </c>
      <c r="C176" s="9">
        <f ca="1">IFERROR(__xludf.DUMMYFUNCTION("""COMPUTED_VALUE"""),37163)</f>
        <v>37163</v>
      </c>
      <c r="D176" s="8" t="str">
        <f ca="1">IFERROR(__xludf.DUMMYFUNCTION("""COMPUTED_VALUE"""),"2003-Korea")</f>
        <v>2003-Korea</v>
      </c>
      <c r="E176" s="8" t="str">
        <f ca="1">IFERROR(__xludf.DUMMYFUNCTION("""COMPUTED_VALUE"""),"182.5 x 27.34")</f>
        <v>182.5 x 27.34</v>
      </c>
      <c r="F176" s="8" t="str">
        <f ca="1">IFERROR(__xludf.DUMMYFUNCTION("""COMPUTED_VALUE"""),"14")</f>
        <v>14</v>
      </c>
      <c r="G176" s="8">
        <f ca="1">IFERROR(__xludf.DUMMYFUNCTION("""COMPUTED_VALUE"""),42000)</f>
        <v>42000</v>
      </c>
      <c r="H176" s="8" t="str">
        <f ca="1">IFERROR(__xludf.DUMMYFUNCTION("""COMPUTED_VALUE"""),"Y/Y Epoxy")</f>
        <v>Y/Y Epoxy</v>
      </c>
      <c r="I176" s="8" t="str">
        <f ca="1">IFERROR(__xludf.DUMMYFUNCTION("""COMPUTED_VALUE"""),"10 x 500 Centrif")</f>
        <v>10 x 500 Centrif</v>
      </c>
      <c r="J176" s="8" t="str">
        <f ca="1">IFERROR(__xludf.DUMMYFUNCTION("""COMPUTED_VALUE"""),"MAN-B&amp;W")</f>
        <v>MAN-B&amp;W</v>
      </c>
      <c r="K176" s="8" t="str">
        <f ca="1">IFERROR(__xludf.DUMMYFUNCTION("""COMPUTED_VALUE"""),"-")</f>
        <v>-</v>
      </c>
      <c r="L176" s="8" t="str">
        <f ca="1">IFERROR(__xludf.DUMMYFUNCTION("""COMPUTED_VALUE"""),"Not yet")</f>
        <v>Not yet</v>
      </c>
      <c r="M176" s="8" t="str">
        <f ca="1">IFERROR(__xludf.DUMMYFUNCTION("""COMPUTED_VALUE"""),"LR 9/27D")</f>
        <v>LR 9/27D</v>
      </c>
      <c r="N176" s="8" t="str">
        <f ca="1">IFERROR(__xludf.DUMMYFUNCTION("""COMPUTED_VALUE"""),"UAE")</f>
        <v>UAE</v>
      </c>
      <c r="O176" s="8" t="str">
        <f ca="1">IFERROR(__xludf.DUMMYFUNCTION("""COMPUTED_VALUE"""),"13.5 m")</f>
        <v>13.5 m</v>
      </c>
    </row>
    <row r="177" spans="1:15" ht="15.75" customHeight="1" x14ac:dyDescent="0.25">
      <c r="A177" s="8" t="str">
        <f ca="1">IFERROR(__xludf.DUMMYFUNCTION("""COMPUTED_VALUE"""),"TA 37100/06")</f>
        <v>TA 37100/06</v>
      </c>
      <c r="B177" s="8" t="str">
        <f ca="1">IFERROR(__xludf.DUMMYFUNCTION("""COMPUTED_VALUE"""),"MR1 Oil/Chem.Ice 1A")</f>
        <v>MR1 Oil/Chem.Ice 1A</v>
      </c>
      <c r="C177" s="9">
        <f ca="1">IFERROR(__xludf.DUMMYFUNCTION("""COMPUTED_VALUE"""),37100)</f>
        <v>37100</v>
      </c>
      <c r="D177" s="8" t="str">
        <f ca="1">IFERROR(__xludf.DUMMYFUNCTION("""COMPUTED_VALUE"""),"2006-Korea")</f>
        <v>2006-Korea</v>
      </c>
      <c r="E177" s="8" t="str">
        <f ca="1">IFERROR(__xludf.DUMMYFUNCTION("""COMPUTED_VALUE"""),"182.5 x 27.34")</f>
        <v>182.5 x 27.34</v>
      </c>
      <c r="F177" s="8" t="str">
        <f ca="1">IFERROR(__xludf.DUMMYFUNCTION("""COMPUTED_VALUE"""),"14")</f>
        <v>14</v>
      </c>
      <c r="G177" s="8">
        <f ca="1">IFERROR(__xludf.DUMMYFUNCTION("""COMPUTED_VALUE"""),42000)</f>
        <v>42000</v>
      </c>
      <c r="H177" s="8" t="str">
        <f ca="1">IFERROR(__xludf.DUMMYFUNCTION("""COMPUTED_VALUE"""),"Y/Y Epoxy")</f>
        <v>Y/Y Epoxy</v>
      </c>
      <c r="I177" s="8" t="str">
        <f ca="1">IFERROR(__xludf.DUMMYFUNCTION("""COMPUTED_VALUE"""),"10x500+2x320")</f>
        <v>10x500+2x320</v>
      </c>
      <c r="J177" s="8" t="str">
        <f ca="1">IFERROR(__xludf.DUMMYFUNCTION("""COMPUTED_VALUE"""),"MAN-B&amp;W")</f>
        <v>MAN-B&amp;W</v>
      </c>
      <c r="K177" s="8" t="str">
        <f ca="1">IFERROR(__xludf.DUMMYFUNCTION("""COMPUTED_VALUE"""),"-")</f>
        <v>-</v>
      </c>
      <c r="L177" s="8" t="str">
        <f ca="1">IFERROR(__xludf.DUMMYFUNCTION("""COMPUTED_VALUE"""),"To be chkd")</f>
        <v>To be chkd</v>
      </c>
      <c r="M177" s="8" t="str">
        <f ca="1">IFERROR(__xludf.DUMMYFUNCTION("""COMPUTED_VALUE"""),"RI 12/26D")</f>
        <v>RI 12/26D</v>
      </c>
      <c r="N177" s="8" t="str">
        <f ca="1">IFERROR(__xludf.DUMMYFUNCTION("""COMPUTED_VALUE"""),"Lome W.Afr")</f>
        <v>Lome W.Afr</v>
      </c>
      <c r="O177" s="8" t="str">
        <f ca="1">IFERROR(__xludf.DUMMYFUNCTION("""COMPUTED_VALUE"""),"B.offers")</f>
        <v>B.offers</v>
      </c>
    </row>
    <row r="178" spans="1:15" ht="15.75" customHeight="1" x14ac:dyDescent="0.25">
      <c r="A178" s="8" t="str">
        <f ca="1">IFERROR(__xludf.DUMMYFUNCTION("""COMPUTED_VALUE"""),"TA 37048/06")</f>
        <v>TA 37048/06</v>
      </c>
      <c r="B178" s="8" t="str">
        <f ca="1">IFERROR(__xludf.DUMMYFUNCTION("""COMPUTED_VALUE"""),"MR1 Oil/Chem.Ice 1A")</f>
        <v>MR1 Oil/Chem.Ice 1A</v>
      </c>
      <c r="C178" s="9">
        <f ca="1">IFERROR(__xludf.DUMMYFUNCTION("""COMPUTED_VALUE"""),37048)</f>
        <v>37048</v>
      </c>
      <c r="D178" s="8" t="str">
        <f ca="1">IFERROR(__xludf.DUMMYFUNCTION("""COMPUTED_VALUE"""),"2006-Korea")</f>
        <v>2006-Korea</v>
      </c>
      <c r="E178" s="8" t="str">
        <f ca="1">IFERROR(__xludf.DUMMYFUNCTION("""COMPUTED_VALUE"""),"182.5 x 27.34")</f>
        <v>182.5 x 27.34</v>
      </c>
      <c r="F178" s="8" t="str">
        <f ca="1">IFERROR(__xludf.DUMMYFUNCTION("""COMPUTED_VALUE"""),"14")</f>
        <v>14</v>
      </c>
      <c r="G178" s="8">
        <f ca="1">IFERROR(__xludf.DUMMYFUNCTION("""COMPUTED_VALUE"""),42016)</f>
        <v>42016</v>
      </c>
      <c r="H178" s="8" t="str">
        <f ca="1">IFERROR(__xludf.DUMMYFUNCTION("""COMPUTED_VALUE"""),"Y/Y Epoxy")</f>
        <v>Y/Y Epoxy</v>
      </c>
      <c r="I178" s="8" t="str">
        <f ca="1">IFERROR(__xludf.DUMMYFUNCTION("""COMPUTED_VALUE"""),"10x500+2x320")</f>
        <v>10x500+2x320</v>
      </c>
      <c r="J178" s="8" t="str">
        <f ca="1">IFERROR(__xludf.DUMMYFUNCTION("""COMPUTED_VALUE"""),"MAN-B&amp;W")</f>
        <v>MAN-B&amp;W</v>
      </c>
      <c r="K178" s="8" t="str">
        <f ca="1">IFERROR(__xludf.DUMMYFUNCTION("""COMPUTED_VALUE"""),"-")</f>
        <v>-</v>
      </c>
      <c r="L178" s="8" t="str">
        <f ca="1">IFERROR(__xludf.DUMMYFUNCTION("""COMPUTED_VALUE"""),"To be chkd")</f>
        <v>To be chkd</v>
      </c>
      <c r="M178" s="8" t="str">
        <f ca="1">IFERROR(__xludf.DUMMYFUNCTION("""COMPUTED_VALUE"""),"RI 9/26D")</f>
        <v>RI 9/26D</v>
      </c>
      <c r="N178" s="8" t="str">
        <f ca="1">IFERROR(__xludf.DUMMYFUNCTION("""COMPUTED_VALUE"""),"Gibraltar")</f>
        <v>Gibraltar</v>
      </c>
      <c r="O178" s="8" t="str">
        <f ca="1">IFERROR(__xludf.DUMMYFUNCTION("""COMPUTED_VALUE"""),"B.offers")</f>
        <v>B.offers</v>
      </c>
    </row>
    <row r="179" spans="1:15" ht="15.75" customHeight="1" x14ac:dyDescent="0.25">
      <c r="A179" s="8" t="str">
        <f ca="1">IFERROR(__xludf.DUMMYFUNCTION("""COMPUTED_VALUE"""),"TA 36993/06")</f>
        <v>TA 36993/06</v>
      </c>
      <c r="B179" s="8" t="str">
        <f ca="1">IFERROR(__xludf.DUMMYFUNCTION("""COMPUTED_VALUE"""),"MR1 Tanker Ice 1A")</f>
        <v>MR1 Tanker Ice 1A</v>
      </c>
      <c r="C179" s="9">
        <f ca="1">IFERROR(__xludf.DUMMYFUNCTION("""COMPUTED_VALUE"""),36993)</f>
        <v>36993</v>
      </c>
      <c r="D179" s="8" t="str">
        <f ca="1">IFERROR(__xludf.DUMMYFUNCTION("""COMPUTED_VALUE"""),"2006-Korea")</f>
        <v>2006-Korea</v>
      </c>
      <c r="E179" s="8" t="str">
        <f ca="1">IFERROR(__xludf.DUMMYFUNCTION("""COMPUTED_VALUE"""),"182.5 x 27.34")</f>
        <v>182.5 x 27.34</v>
      </c>
      <c r="F179" s="8" t="str">
        <f ca="1">IFERROR(__xludf.DUMMYFUNCTION("""COMPUTED_VALUE"""),"12")</f>
        <v>12</v>
      </c>
      <c r="G179" s="8">
        <f ca="1">IFERROR(__xludf.DUMMYFUNCTION("""COMPUTED_VALUE"""),41078)</f>
        <v>41078</v>
      </c>
      <c r="H179" s="8" t="str">
        <f ca="1">IFERROR(__xludf.DUMMYFUNCTION("""COMPUTED_VALUE"""),"Y/Y Epoxy")</f>
        <v>Y/Y Epoxy</v>
      </c>
      <c r="I179" s="8" t="str">
        <f ca="1">IFERROR(__xludf.DUMMYFUNCTION("""COMPUTED_VALUE"""),"8x500+2x320+")</f>
        <v>8x500+2x320+</v>
      </c>
      <c r="J179" s="8" t="str">
        <f ca="1">IFERROR(__xludf.DUMMYFUNCTION("""COMPUTED_VALUE"""),"MAN-B&amp;W")</f>
        <v>MAN-B&amp;W</v>
      </c>
      <c r="K179" s="8" t="str">
        <f ca="1">IFERROR(__xludf.DUMMYFUNCTION("""COMPUTED_VALUE"""),"-")</f>
        <v>-</v>
      </c>
      <c r="L179" s="8" t="str">
        <f ca="1">IFERROR(__xludf.DUMMYFUNCTION("""COMPUTED_VALUE"""),"To be chkd")</f>
        <v>To be chkd</v>
      </c>
      <c r="M179" s="8" t="str">
        <f ca="1">IFERROR(__xludf.DUMMYFUNCTION("""COMPUTED_VALUE"""),"AB 11/25D")</f>
        <v>AB 11/25D</v>
      </c>
      <c r="N179" s="8" t="str">
        <f ca="1">IFERROR(__xludf.DUMMYFUNCTION("""COMPUTED_VALUE"""),"Med/B.Sea")</f>
        <v>Med/B.Sea</v>
      </c>
      <c r="O179" s="8" t="str">
        <f ca="1">IFERROR(__xludf.DUMMYFUNCTION("""COMPUTED_VALUE"""),"B.offers")</f>
        <v>B.offers</v>
      </c>
    </row>
    <row r="180" spans="1:15" ht="15.75" customHeight="1" x14ac:dyDescent="0.25">
      <c r="A180" s="8" t="str">
        <f ca="1">IFERROR(__xludf.DUMMYFUNCTION("""COMPUTED_VALUE"""),"TA 35795/02")</f>
        <v>TA 35795/02</v>
      </c>
      <c r="B180" s="8" t="str">
        <f ca="1">IFERROR(__xludf.DUMMYFUNCTION("""COMPUTED_VALUE"""),"MR1 CPP Chem/Prod Tanker")</f>
        <v>MR1 CPP Chem/Prod Tanker</v>
      </c>
      <c r="C180" s="9">
        <f ca="1">IFERROR(__xludf.DUMMYFUNCTION("""COMPUTED_VALUE"""),35795)</f>
        <v>35795</v>
      </c>
      <c r="D180" s="8" t="str">
        <f ca="1">IFERROR(__xludf.DUMMYFUNCTION("""COMPUTED_VALUE"""),"2002-Croatia")</f>
        <v>2002-Croatia</v>
      </c>
      <c r="E180" s="8" t="str">
        <f ca="1">IFERROR(__xludf.DUMMYFUNCTION("""COMPUTED_VALUE"""),"175.87 x 29.80")</f>
        <v>175.87 x 29.80</v>
      </c>
      <c r="F180" s="8" t="str">
        <f ca="1">IFERROR(__xludf.DUMMYFUNCTION("""COMPUTED_VALUE"""),"14")</f>
        <v>14</v>
      </c>
      <c r="G180" s="8">
        <f ca="1">IFERROR(__xludf.DUMMYFUNCTION("""COMPUTED_VALUE"""),43150)</f>
        <v>43150</v>
      </c>
      <c r="H180" s="8" t="str">
        <f ca="1">IFERROR(__xludf.DUMMYFUNCTION("""COMPUTED_VALUE"""),"Y/Y Epoxy")</f>
        <v>Y/Y Epoxy</v>
      </c>
      <c r="I180" s="8" t="str">
        <f ca="1">IFERROR(__xludf.DUMMYFUNCTION("""COMPUTED_VALUE"""),"12 x 500")</f>
        <v>12 x 500</v>
      </c>
      <c r="J180" s="8" t="str">
        <f ca="1">IFERROR(__xludf.DUMMYFUNCTION("""COMPUTED_VALUE"""),"Sulzer")</f>
        <v>Sulzer</v>
      </c>
      <c r="K180" s="8" t="str">
        <f ca="1">IFERROR(__xludf.DUMMYFUNCTION("""COMPUTED_VALUE"""),"15.3 k/38 t IFO")</f>
        <v>15.3 k/38 t IFO</v>
      </c>
      <c r="L180" s="8" t="str">
        <f ca="1">IFERROR(__xludf.DUMMYFUNCTION("""COMPUTED_VALUE"""),"Fitted")</f>
        <v>Fitted</v>
      </c>
      <c r="M180" s="8" t="str">
        <f ca="1">IFERROR(__xludf.DUMMYFUNCTION("""COMPUTED_VALUE"""),"RI 9/26D")</f>
        <v>RI 9/26D</v>
      </c>
      <c r="N180" s="8" t="str">
        <f ca="1">IFERROR(__xludf.DUMMYFUNCTION("""COMPUTED_VALUE"""),"Lybia")</f>
        <v>Lybia</v>
      </c>
      <c r="O180" s="8" t="str">
        <f ca="1">IFERROR(__xludf.DUMMYFUNCTION("""COMPUTED_VALUE"""),"B.offers")</f>
        <v>B.offers</v>
      </c>
    </row>
    <row r="181" spans="1:15" ht="15.75" customHeight="1" x14ac:dyDescent="0.25">
      <c r="A181" s="8" t="str">
        <f ca="1">IFERROR(__xludf.DUMMYFUNCTION("""COMPUTED_VALUE"""),"TA 34999/00")</f>
        <v>TA 34999/00</v>
      </c>
      <c r="B181" s="8" t="str">
        <f ca="1">IFERROR(__xludf.DUMMYFUNCTION("""COMPUTED_VALUE"""),"MR1 DPP Products Tanker")</f>
        <v>MR1 DPP Products Tanker</v>
      </c>
      <c r="C181" s="9">
        <f ca="1">IFERROR(__xludf.DUMMYFUNCTION("""COMPUTED_VALUE"""),34999)</f>
        <v>34999</v>
      </c>
      <c r="D181" s="8" t="str">
        <f ca="1">IFERROR(__xludf.DUMMYFUNCTION("""COMPUTED_VALUE"""),"2000-China")</f>
        <v>2000-China</v>
      </c>
      <c r="E181" s="8" t="str">
        <f ca="1">IFERROR(__xludf.DUMMYFUNCTION("""COMPUTED_VALUE"""),"171.20 x 27.40")</f>
        <v>171.20 x 27.40</v>
      </c>
      <c r="F181" s="8" t="str">
        <f ca="1">IFERROR(__xludf.DUMMYFUNCTION("""COMPUTED_VALUE"""),"12")</f>
        <v>12</v>
      </c>
      <c r="G181" s="8">
        <f ca="1">IFERROR(__xludf.DUMMYFUNCTION("""COMPUTED_VALUE"""),36767)</f>
        <v>36767</v>
      </c>
      <c r="H181" s="8" t="str">
        <f ca="1">IFERROR(__xludf.DUMMYFUNCTION("""COMPUTED_VALUE"""),"Y/Y Epoxy")</f>
        <v>Y/Y Epoxy</v>
      </c>
      <c r="I181" s="8" t="str">
        <f ca="1">IFERROR(__xludf.DUMMYFUNCTION("""COMPUTED_VALUE"""),"10 x 500")</f>
        <v>10 x 500</v>
      </c>
      <c r="J181" s="8" t="str">
        <f ca="1">IFERROR(__xludf.DUMMYFUNCTION("""COMPUTED_VALUE"""),"MAN-B&amp;W")</f>
        <v>MAN-B&amp;W</v>
      </c>
      <c r="K181" s="8" t="str">
        <f ca="1">IFERROR(__xludf.DUMMYFUNCTION("""COMPUTED_VALUE"""),"14.5 k")</f>
        <v>14.5 k</v>
      </c>
      <c r="L181" s="8" t="str">
        <f ca="1">IFERROR(__xludf.DUMMYFUNCTION("""COMPUTED_VALUE"""),"Fitted")</f>
        <v>Fitted</v>
      </c>
      <c r="M181" s="8" t="str">
        <f ca="1">IFERROR(__xludf.DUMMYFUNCTION("""COMPUTED_VALUE"""),"NV 6/25D")</f>
        <v>NV 6/25D</v>
      </c>
      <c r="N181" s="8" t="str">
        <f ca="1">IFERROR(__xludf.DUMMYFUNCTION("""COMPUTED_VALUE"""),"AG/PG")</f>
        <v>AG/PG</v>
      </c>
      <c r="O181" s="8" t="str">
        <f ca="1">IFERROR(__xludf.DUMMYFUNCTION("""COMPUTED_VALUE"""),"B.offers")</f>
        <v>B.offers</v>
      </c>
    </row>
    <row r="182" spans="1:15" ht="15.75" customHeight="1" x14ac:dyDescent="0.25">
      <c r="A182" s="8" t="str">
        <f ca="1">IFERROR(__xludf.DUMMYFUNCTION("""COMPUTED_VALUE"""),"TA 34671/07")</f>
        <v>TA 34671/07</v>
      </c>
      <c r="B182" s="8" t="str">
        <f ca="1">IFERROR(__xludf.DUMMYFUNCTION("""COMPUTED_VALUE"""),"MR1 IMO 2 Tanker")</f>
        <v>MR1 IMO 2 Tanker</v>
      </c>
      <c r="C182" s="9">
        <f ca="1">IFERROR(__xludf.DUMMYFUNCTION("""COMPUTED_VALUE"""),34671)</f>
        <v>34671</v>
      </c>
      <c r="D182" s="8" t="str">
        <f ca="1">IFERROR(__xludf.DUMMYFUNCTION("""COMPUTED_VALUE"""),"2007-China")</f>
        <v>2007-China</v>
      </c>
      <c r="E182" s="8" t="str">
        <f ca="1">IFERROR(__xludf.DUMMYFUNCTION("""COMPUTED_VALUE"""),"171.20 X 27.00")</f>
        <v>171.20 X 27.00</v>
      </c>
      <c r="F182" s="8" t="str">
        <f ca="1">IFERROR(__xludf.DUMMYFUNCTION("""COMPUTED_VALUE"""),"14")</f>
        <v>14</v>
      </c>
      <c r="G182" s="8">
        <f ca="1">IFERROR(__xludf.DUMMYFUNCTION("""COMPUTED_VALUE"""),36800)</f>
        <v>36800</v>
      </c>
      <c r="H182" s="8" t="str">
        <f ca="1">IFERROR(__xludf.DUMMYFUNCTION("""COMPUTED_VALUE"""),"Y/Y Epoxy")</f>
        <v>Y/Y Epoxy</v>
      </c>
      <c r="I182" s="8" t="str">
        <f ca="1">IFERROR(__xludf.DUMMYFUNCTION("""COMPUTED_VALUE"""),"12 x 500 centr/sub")</f>
        <v>12 x 500 centr/sub</v>
      </c>
      <c r="J182" s="8" t="str">
        <f ca="1">IFERROR(__xludf.DUMMYFUNCTION("""COMPUTED_VALUE"""),"MAN-B&amp;W")</f>
        <v>MAN-B&amp;W</v>
      </c>
      <c r="K182" s="8" t="str">
        <f ca="1">IFERROR(__xludf.DUMMYFUNCTION("""COMPUTED_VALUE"""),"14.5 k")</f>
        <v>14.5 k</v>
      </c>
      <c r="L182" s="8" t="str">
        <f ca="1">IFERROR(__xludf.DUMMYFUNCTION("""COMPUTED_VALUE"""),"Fitted")</f>
        <v>Fitted</v>
      </c>
      <c r="M182" s="8" t="str">
        <f ca="1">IFERROR(__xludf.DUMMYFUNCTION("""COMPUTED_VALUE"""),"RI 6/27D")</f>
        <v>RI 6/27D</v>
      </c>
      <c r="N182" s="8" t="str">
        <f ca="1">IFERROR(__xludf.DUMMYFUNCTION("""COMPUTED_VALUE"""),"Spot AG")</f>
        <v>Spot AG</v>
      </c>
      <c r="O182" s="8" t="str">
        <f ca="1">IFERROR(__xludf.DUMMYFUNCTION("""COMPUTED_VALUE"""),"20-19 m ")</f>
        <v xml:space="preserve">20-19 m </v>
      </c>
    </row>
    <row r="183" spans="1:15" ht="15.75" customHeight="1" x14ac:dyDescent="0.25">
      <c r="A183" s="8" t="str">
        <f ca="1">IFERROR(__xludf.DUMMYFUNCTION("""COMPUTED_VALUE"""),"TA 27260/13")</f>
        <v>TA 27260/13</v>
      </c>
      <c r="B183" s="8" t="str">
        <f ca="1">IFERROR(__xludf.DUMMYFUNCTION("""COMPUTED_VALUE"""),"Chemical IMO 2 Tanker")</f>
        <v>Chemical IMO 2 Tanker</v>
      </c>
      <c r="C183" s="9">
        <f ca="1">IFERROR(__xludf.DUMMYFUNCTION("""COMPUTED_VALUE"""),27260)</f>
        <v>27260</v>
      </c>
      <c r="D183" s="8" t="str">
        <f ca="1">IFERROR(__xludf.DUMMYFUNCTION("""COMPUTED_VALUE"""),"2013-China")</f>
        <v>2013-China</v>
      </c>
      <c r="E183" s="8" t="str">
        <f ca="1">IFERROR(__xludf.DUMMYFUNCTION("""COMPUTED_VALUE"""),"176.2 x 27.00")</f>
        <v>176.2 x 27.00</v>
      </c>
      <c r="F183" s="8" t="str">
        <f ca="1">IFERROR(__xludf.DUMMYFUNCTION("""COMPUTED_VALUE"""),"14")</f>
        <v>14</v>
      </c>
      <c r="G183" s="8">
        <f ca="1">IFERROR(__xludf.DUMMYFUNCTION("""COMPUTED_VALUE"""),33445)</f>
        <v>33445</v>
      </c>
      <c r="H183" s="8" t="str">
        <f ca="1">IFERROR(__xludf.DUMMYFUNCTION("""COMPUTED_VALUE"""),"?/Y Epoxy")</f>
        <v>?/Y Epoxy</v>
      </c>
      <c r="I183" s="8" t="str">
        <f ca="1">IFERROR(__xludf.DUMMYFUNCTION("""COMPUTED_VALUE"""),"12x375+2x200")</f>
        <v>12x375+2x200</v>
      </c>
      <c r="J183" s="8" t="str">
        <f ca="1">IFERROR(__xludf.DUMMYFUNCTION("""COMPUTED_VALUE"""),"MAN-B&amp;W")</f>
        <v>MAN-B&amp;W</v>
      </c>
      <c r="K183" s="8" t="str">
        <f ca="1">IFERROR(__xludf.DUMMYFUNCTION("""COMPUTED_VALUE"""),"-")</f>
        <v>-</v>
      </c>
      <c r="L183" s="8" t="str">
        <f ca="1">IFERROR(__xludf.DUMMYFUNCTION("""COMPUTED_VALUE"""),"To be chkd")</f>
        <v>To be chkd</v>
      </c>
      <c r="M183" s="8" t="str">
        <f ca="1">IFERROR(__xludf.DUMMYFUNCTION("""COMPUTED_VALUE"""),"CCS 8/28D")</f>
        <v>CCS 8/28D</v>
      </c>
      <c r="N183" s="8" t="str">
        <f ca="1">IFERROR(__xludf.DUMMYFUNCTION("""COMPUTED_VALUE"""),"N.Europe")</f>
        <v>N.Europe</v>
      </c>
      <c r="O183" s="8" t="str">
        <f ca="1">IFERROR(__xludf.DUMMYFUNCTION("""COMPUTED_VALUE"""),"23-21 m")</f>
        <v>23-21 m</v>
      </c>
    </row>
    <row r="184" spans="1:15" ht="15.75" customHeight="1" x14ac:dyDescent="0.25">
      <c r="A184" s="8" t="str">
        <f ca="1">IFERROR(__xludf.DUMMYFUNCTION("""COMPUTED_VALUE"""),"TA 26044/23")</f>
        <v>TA 26044/23</v>
      </c>
      <c r="B184" s="8" t="str">
        <f ca="1">IFERROR(__xludf.DUMMYFUNCTION("""COMPUTED_VALUE"""),"Oil/Chemical IMO2/Ice B Tk.")</f>
        <v>Oil/Chemical IMO2/Ice B Tk.</v>
      </c>
      <c r="C184" s="9">
        <f ca="1">IFERROR(__xludf.DUMMYFUNCTION("""COMPUTED_VALUE"""),26044)</f>
        <v>26044</v>
      </c>
      <c r="D184" s="8" t="str">
        <f ca="1">IFERROR(__xludf.DUMMYFUNCTION("""COMPUTED_VALUE"""),"2023-China")</f>
        <v>2023-China</v>
      </c>
      <c r="E184" s="8" t="str">
        <f ca="1">IFERROR(__xludf.DUMMYFUNCTION("""COMPUTED_VALUE"""),"159.80 x 26.80")</f>
        <v>159.80 x 26.80</v>
      </c>
      <c r="F184" s="8" t="str">
        <f ca="1">IFERROR(__xludf.DUMMYFUNCTION("""COMPUTED_VALUE"""),"-")</f>
        <v>-</v>
      </c>
      <c r="G184" s="8">
        <f ca="1">IFERROR(__xludf.DUMMYFUNCTION("""COMPUTED_VALUE"""),30175)</f>
        <v>30175</v>
      </c>
      <c r="H184" s="8" t="str">
        <f ca="1">IFERROR(__xludf.DUMMYFUNCTION("""COMPUTED_VALUE"""),"Y/Y")</f>
        <v>Y/Y</v>
      </c>
      <c r="I184" s="8" t="str">
        <f ca="1">IFERROR(__xludf.DUMMYFUNCTION("""COMPUTED_VALUE"""),"-")</f>
        <v>-</v>
      </c>
      <c r="J184" s="8" t="str">
        <f ca="1">IFERROR(__xludf.DUMMYFUNCTION("""COMPUTED_VALUE"""),"MAN-B&amp;W")</f>
        <v>MAN-B&amp;W</v>
      </c>
      <c r="K184" s="8" t="str">
        <f ca="1">IFERROR(__xludf.DUMMYFUNCTION("""COMPUTED_VALUE"""),"-")</f>
        <v>-</v>
      </c>
      <c r="L184" s="8" t="str">
        <f ca="1">IFERROR(__xludf.DUMMYFUNCTION("""COMPUTED_VALUE"""),"Fitted")</f>
        <v>Fitted</v>
      </c>
      <c r="M184" s="8" t="str">
        <f ca="1">IFERROR(__xludf.DUMMYFUNCTION("""COMPUTED_VALUE"""),"CCS 3/28D")</f>
        <v>CCS 3/28D</v>
      </c>
      <c r="N184" s="8" t="str">
        <f ca="1">IFERROR(__xludf.DUMMYFUNCTION("""COMPUTED_VALUE"""),"Fareast")</f>
        <v>Fareast</v>
      </c>
      <c r="O184" s="8" t="str">
        <f ca="1">IFERROR(__xludf.DUMMYFUNCTION("""COMPUTED_VALUE"""),"B.offers")</f>
        <v>B.offers</v>
      </c>
    </row>
    <row r="185" spans="1:15" ht="15.75" customHeight="1" x14ac:dyDescent="0.25">
      <c r="A185" s="8" t="str">
        <f ca="1">IFERROR(__xludf.DUMMYFUNCTION("""COMPUTED_VALUE"""),"TA 25415/01")</f>
        <v>TA 25415/01</v>
      </c>
      <c r="B185" s="8" t="str">
        <f ca="1">IFERROR(__xludf.DUMMYFUNCTION("""COMPUTED_VALUE"""),"Chemical Tanker IMO II/III")</f>
        <v>Chemical Tanker IMO II/III</v>
      </c>
      <c r="C185" s="9">
        <f ca="1">IFERROR(__xludf.DUMMYFUNCTION("""COMPUTED_VALUE"""),25415)</f>
        <v>25415</v>
      </c>
      <c r="D185" s="8" t="str">
        <f ca="1">IFERROR(__xludf.DUMMYFUNCTION("""COMPUTED_VALUE"""),"2001-Korea")</f>
        <v>2001-Korea</v>
      </c>
      <c r="E185" s="8" t="str">
        <f ca="1">IFERROR(__xludf.DUMMYFUNCTION("""COMPUTED_VALUE"""),"170.28 x 26.10")</f>
        <v>170.28 x 26.10</v>
      </c>
      <c r="F185" s="8" t="str">
        <f ca="1">IFERROR(__xludf.DUMMYFUNCTION("""COMPUTED_VALUE"""),"12")</f>
        <v>12</v>
      </c>
      <c r="G185" s="8">
        <f ca="1">IFERROR(__xludf.DUMMYFUNCTION("""COMPUTED_VALUE"""),30711)</f>
        <v>30711</v>
      </c>
      <c r="H185" s="8" t="str">
        <f ca="1">IFERROR(__xludf.DUMMYFUNCTION("""COMPUTED_VALUE"""),"Y/Y Zinc")</f>
        <v>Y/Y Zinc</v>
      </c>
      <c r="I185" s="8" t="str">
        <f ca="1">IFERROR(__xludf.DUMMYFUNCTION("""COMPUTED_VALUE"""),"10x300 + 2x150")</f>
        <v>10x300 + 2x150</v>
      </c>
      <c r="J185" s="8" t="str">
        <f ca="1">IFERROR(__xludf.DUMMYFUNCTION("""COMPUTED_VALUE"""),"B&amp;W")</f>
        <v>B&amp;W</v>
      </c>
      <c r="K185" s="8" t="str">
        <f ca="1">IFERROR(__xludf.DUMMYFUNCTION("""COMPUTED_VALUE"""),"-")</f>
        <v>-</v>
      </c>
      <c r="L185" s="8" t="str">
        <f ca="1">IFERROR(__xludf.DUMMYFUNCTION("""COMPUTED_VALUE"""),"Fitted")</f>
        <v>Fitted</v>
      </c>
      <c r="M185" s="8" t="str">
        <f ca="1">IFERROR(__xludf.DUMMYFUNCTION("""COMPUTED_VALUE"""),"NK 4/26D")</f>
        <v>NK 4/26D</v>
      </c>
      <c r="N185" s="8" t="str">
        <f ca="1">IFERROR(__xludf.DUMMYFUNCTION("""COMPUTED_VALUE"""),"CPP SE.Asia")</f>
        <v>CPP SE.Asia</v>
      </c>
      <c r="O185" s="8" t="str">
        <f ca="1">IFERROR(__xludf.DUMMYFUNCTION("""COMPUTED_VALUE"""),"B.offers")</f>
        <v>B.offers</v>
      </c>
    </row>
    <row r="186" spans="1:15" ht="15.75" customHeight="1" x14ac:dyDescent="0.25">
      <c r="A186" s="8" t="str">
        <f ca="1">IFERROR(__xludf.DUMMYFUNCTION("""COMPUTED_VALUE"""),"TA 25413/01")</f>
        <v>TA 25413/01</v>
      </c>
      <c r="B186" s="8" t="str">
        <f ca="1">IFERROR(__xludf.DUMMYFUNCTION("""COMPUTED_VALUE"""),"Chemical Tanker IMO II/III")</f>
        <v>Chemical Tanker IMO II/III</v>
      </c>
      <c r="C186" s="9">
        <f ca="1">IFERROR(__xludf.DUMMYFUNCTION("""COMPUTED_VALUE"""),25413)</f>
        <v>25413</v>
      </c>
      <c r="D186" s="8" t="str">
        <f ca="1">IFERROR(__xludf.DUMMYFUNCTION("""COMPUTED_VALUE"""),"2001-Korea")</f>
        <v>2001-Korea</v>
      </c>
      <c r="E186" s="8" t="str">
        <f ca="1">IFERROR(__xludf.DUMMYFUNCTION("""COMPUTED_VALUE"""),"170.31 x 26.10")</f>
        <v>170.31 x 26.10</v>
      </c>
      <c r="F186" s="8" t="str">
        <f ca="1">IFERROR(__xludf.DUMMYFUNCTION("""COMPUTED_VALUE"""),"12")</f>
        <v>12</v>
      </c>
      <c r="G186" s="8">
        <f ca="1">IFERROR(__xludf.DUMMYFUNCTION("""COMPUTED_VALUE"""),30880)</f>
        <v>30880</v>
      </c>
      <c r="H186" s="8" t="str">
        <f ca="1">IFERROR(__xludf.DUMMYFUNCTION("""COMPUTED_VALUE"""),"Y Heater/Y Zinc")</f>
        <v>Y Heater/Y Zinc</v>
      </c>
      <c r="I186" s="8" t="str">
        <f ca="1">IFERROR(__xludf.DUMMYFUNCTION("""COMPUTED_VALUE"""),"10x300 + 2 x 150")</f>
        <v>10x300 + 2 x 150</v>
      </c>
      <c r="J186" s="8" t="str">
        <f ca="1">IFERROR(__xludf.DUMMYFUNCTION("""COMPUTED_VALUE"""),"B&amp;W")</f>
        <v>B&amp;W</v>
      </c>
      <c r="K186" s="8" t="str">
        <f ca="1">IFERROR(__xludf.DUMMYFUNCTION("""COMPUTED_VALUE"""),"-")</f>
        <v>-</v>
      </c>
      <c r="L186" s="8" t="str">
        <f ca="1">IFERROR(__xludf.DUMMYFUNCTION("""COMPUTED_VALUE"""),"Fitted")</f>
        <v>Fitted</v>
      </c>
      <c r="M186" s="8" t="str">
        <f ca="1">IFERROR(__xludf.DUMMYFUNCTION("""COMPUTED_VALUE"""),"RI 11/25D")</f>
        <v>RI 11/25D</v>
      </c>
      <c r="N186" s="8" t="str">
        <f ca="1">IFERROR(__xludf.DUMMYFUNCTION("""COMPUTED_VALUE"""),"CPP SE.Asia")</f>
        <v>CPP SE.Asia</v>
      </c>
      <c r="O186" s="8" t="str">
        <f ca="1">IFERROR(__xludf.DUMMYFUNCTION("""COMPUTED_VALUE"""),"B.offers")</f>
        <v>B.offers</v>
      </c>
    </row>
    <row r="187" spans="1:15" ht="15.75" customHeight="1" x14ac:dyDescent="0.25">
      <c r="A187" s="8" t="str">
        <f ca="1">IFERROR(__xludf.DUMMYFUNCTION("""COMPUTED_VALUE"""),"TA 25174/21")</f>
        <v>TA 25174/21</v>
      </c>
      <c r="B187" s="8" t="str">
        <f ca="1">IFERROR(__xludf.DUMMYFUNCTION("""COMPUTED_VALUE"""),"Chemical/Oil Tanker Ice B/IMO 2")</f>
        <v>Chemical/Oil Tanker Ice B/IMO 2</v>
      </c>
      <c r="C187" s="9">
        <f ca="1">IFERROR(__xludf.DUMMYFUNCTION("""COMPUTED_VALUE"""),25174)</f>
        <v>25174</v>
      </c>
      <c r="D187" s="8" t="str">
        <f ca="1">IFERROR(__xludf.DUMMYFUNCTION("""COMPUTED_VALUE"""),"2021-China")</f>
        <v>2021-China</v>
      </c>
      <c r="E187" s="8" t="str">
        <f ca="1">IFERROR(__xludf.DUMMYFUNCTION("""COMPUTED_VALUE"""),"159.20 x 24.80")</f>
        <v>159.20 x 24.80</v>
      </c>
      <c r="F187" s="8" t="str">
        <f ca="1">IFERROR(__xludf.DUMMYFUNCTION("""COMPUTED_VALUE"""),"10")</f>
        <v>10</v>
      </c>
      <c r="G187" s="8">
        <f ca="1">IFERROR(__xludf.DUMMYFUNCTION("""COMPUTED_VALUE"""),25536)</f>
        <v>25536</v>
      </c>
      <c r="H187" s="8" t="str">
        <f ca="1">IFERROR(__xludf.DUMMYFUNCTION("""COMPUTED_VALUE"""),"Y/Y Epoxy")</f>
        <v>Y/Y Epoxy</v>
      </c>
      <c r="I187" s="8" t="str">
        <f ca="1">IFERROR(__xludf.DUMMYFUNCTION("""COMPUTED_VALUE"""),"2 x 1500")</f>
        <v>2 x 1500</v>
      </c>
      <c r="J187" s="8" t="str">
        <f ca="1">IFERROR(__xludf.DUMMYFUNCTION("""COMPUTED_VALUE"""),"MAN-B&amp;W")</f>
        <v>MAN-B&amp;W</v>
      </c>
      <c r="K187" s="8" t="str">
        <f ca="1">IFERROR(__xludf.DUMMYFUNCTION("""COMPUTED_VALUE"""),"-")</f>
        <v>-</v>
      </c>
      <c r="L187" s="8" t="str">
        <f ca="1">IFERROR(__xludf.DUMMYFUNCTION("""COMPUTED_VALUE"""),"To be chkd")</f>
        <v>To be chkd</v>
      </c>
      <c r="M187" s="8" t="str">
        <f ca="1">IFERROR(__xludf.DUMMYFUNCTION("""COMPUTED_VALUE"""),"CCS Ice B 3/26")</f>
        <v>CCS Ice B 3/26</v>
      </c>
      <c r="N187" s="8" t="str">
        <f ca="1">IFERROR(__xludf.DUMMYFUNCTION("""COMPUTED_VALUE"""),"Fareast")</f>
        <v>Fareast</v>
      </c>
      <c r="O187" s="8" t="str">
        <f ca="1">IFERROR(__xludf.DUMMYFUNCTION("""COMPUTED_VALUE"""),"B.offers")</f>
        <v>B.offers</v>
      </c>
    </row>
    <row r="188" spans="1:15" ht="15.75" customHeight="1" x14ac:dyDescent="0.25">
      <c r="A188" s="8" t="str">
        <f ca="1">IFERROR(__xludf.DUMMYFUNCTION("""COMPUTED_VALUE"""),"TA 25173/21")</f>
        <v>TA 25173/21</v>
      </c>
      <c r="B188" s="8" t="str">
        <f ca="1">IFERROR(__xludf.DUMMYFUNCTION("""COMPUTED_VALUE"""),"Chemical/Oil Tanker Ice B/IMO 2")</f>
        <v>Chemical/Oil Tanker Ice B/IMO 2</v>
      </c>
      <c r="C188" s="9">
        <f ca="1">IFERROR(__xludf.DUMMYFUNCTION("""COMPUTED_VALUE"""),25173)</f>
        <v>25173</v>
      </c>
      <c r="D188" s="8" t="str">
        <f ca="1">IFERROR(__xludf.DUMMYFUNCTION("""COMPUTED_VALUE"""),"2021-China")</f>
        <v>2021-China</v>
      </c>
      <c r="E188" s="8" t="str">
        <f ca="1">IFERROR(__xludf.DUMMYFUNCTION("""COMPUTED_VALUE"""),"159.20 x 24.80")</f>
        <v>159.20 x 24.80</v>
      </c>
      <c r="F188" s="8" t="str">
        <f ca="1">IFERROR(__xludf.DUMMYFUNCTION("""COMPUTED_VALUE"""),"10")</f>
        <v>10</v>
      </c>
      <c r="G188" s="8">
        <f ca="1">IFERROR(__xludf.DUMMYFUNCTION("""COMPUTED_VALUE"""),25536)</f>
        <v>25536</v>
      </c>
      <c r="H188" s="8" t="str">
        <f ca="1">IFERROR(__xludf.DUMMYFUNCTION("""COMPUTED_VALUE"""),"Y/Y")</f>
        <v>Y/Y</v>
      </c>
      <c r="I188" s="8" t="str">
        <f ca="1">IFERROR(__xludf.DUMMYFUNCTION("""COMPUTED_VALUE"""),"2 X 1500")</f>
        <v>2 X 1500</v>
      </c>
      <c r="J188" s="8" t="str">
        <f ca="1">IFERROR(__xludf.DUMMYFUNCTION("""COMPUTED_VALUE"""),"MAN-B&amp;W")</f>
        <v>MAN-B&amp;W</v>
      </c>
      <c r="K188" s="8" t="str">
        <f ca="1">IFERROR(__xludf.DUMMYFUNCTION("""COMPUTED_VALUE"""),"14.5 K/12.5 K")</f>
        <v>14.5 K/12.5 K</v>
      </c>
      <c r="L188" s="8" t="str">
        <f ca="1">IFERROR(__xludf.DUMMYFUNCTION("""COMPUTED_VALUE"""),"Fitted")</f>
        <v>Fitted</v>
      </c>
      <c r="M188" s="8" t="str">
        <f ca="1">IFERROR(__xludf.DUMMYFUNCTION("""COMPUTED_VALUE"""),"CCS 3/26D")</f>
        <v>CCS 3/26D</v>
      </c>
      <c r="N188" s="8" t="str">
        <f ca="1">IFERROR(__xludf.DUMMYFUNCTION("""COMPUTED_VALUE"""),"Fareast")</f>
        <v>Fareast</v>
      </c>
      <c r="O188" s="8" t="str">
        <f ca="1">IFERROR(__xludf.DUMMYFUNCTION("""COMPUTED_VALUE"""),"B.offers")</f>
        <v>B.offers</v>
      </c>
    </row>
    <row r="189" spans="1:15" ht="15.75" customHeight="1" x14ac:dyDescent="0.25">
      <c r="A189" s="8" t="str">
        <f ca="1">IFERROR(__xludf.DUMMYFUNCTION("""COMPUTED_VALUE"""),"TA 24925/23A")</f>
        <v>TA 24925/23A</v>
      </c>
      <c r="B189" s="8" t="str">
        <f ca="1">IFERROR(__xludf.DUMMYFUNCTION("""COMPUTED_VALUE"""),"Chemical/Oil Tanker Ice B/IMO 2")</f>
        <v>Chemical/Oil Tanker Ice B/IMO 2</v>
      </c>
      <c r="C189" s="9">
        <f ca="1">IFERROR(__xludf.DUMMYFUNCTION("""COMPUTED_VALUE"""),24925)</f>
        <v>24925</v>
      </c>
      <c r="D189" s="8" t="str">
        <f ca="1">IFERROR(__xludf.DUMMYFUNCTION("""COMPUTED_VALUE"""),"2023-China")</f>
        <v>2023-China</v>
      </c>
      <c r="E189" s="8" t="str">
        <f ca="1">IFERROR(__xludf.DUMMYFUNCTION("""COMPUTED_VALUE"""),"158.96 x 27.00")</f>
        <v>158.96 x 27.00</v>
      </c>
      <c r="F189" s="8" t="str">
        <f ca="1">IFERROR(__xludf.DUMMYFUNCTION("""COMPUTED_VALUE"""),"10")</f>
        <v>10</v>
      </c>
      <c r="G189" s="8">
        <f ca="1">IFERROR(__xludf.DUMMYFUNCTION("""COMPUTED_VALUE"""),28894)</f>
        <v>28894</v>
      </c>
      <c r="H189" s="8" t="str">
        <f ca="1">IFERROR(__xludf.DUMMYFUNCTION("""COMPUTED_VALUE"""),"Y Thermal O/Y Epoxy")</f>
        <v>Y Thermal O/Y Epoxy</v>
      </c>
      <c r="I189" s="8" t="str">
        <f ca="1">IFERROR(__xludf.DUMMYFUNCTION("""COMPUTED_VALUE"""),"2 x 1200")</f>
        <v>2 x 1200</v>
      </c>
      <c r="J189" s="8" t="str">
        <f ca="1">IFERROR(__xludf.DUMMYFUNCTION("""COMPUTED_VALUE"""),"Mitsubishi")</f>
        <v>Mitsubishi</v>
      </c>
      <c r="K189" s="8"/>
      <c r="L189" s="8" t="str">
        <f ca="1">IFERROR(__xludf.DUMMYFUNCTION("""COMPUTED_VALUE"""),"Fitted")</f>
        <v>Fitted</v>
      </c>
      <c r="M189" s="8" t="str">
        <f ca="1">IFERROR(__xludf.DUMMYFUNCTION("""COMPUTED_VALUE"""),"CCS 3/28D")</f>
        <v>CCS 3/28D</v>
      </c>
      <c r="N189" s="8" t="str">
        <f ca="1">IFERROR(__xludf.DUMMYFUNCTION("""COMPUTED_VALUE"""),"Fareast")</f>
        <v>Fareast</v>
      </c>
      <c r="O189" s="8" t="str">
        <f ca="1">IFERROR(__xludf.DUMMYFUNCTION("""COMPUTED_VALUE"""),"B.offers")</f>
        <v>B.offers</v>
      </c>
    </row>
    <row r="190" spans="1:15" ht="15.75" customHeight="1" x14ac:dyDescent="0.25">
      <c r="A190" s="8" t="str">
        <f ca="1">IFERROR(__xludf.DUMMYFUNCTION("""COMPUTED_VALUE"""),"TA 24925/23B")</f>
        <v>TA 24925/23B</v>
      </c>
      <c r="B190" s="8" t="str">
        <f ca="1">IFERROR(__xludf.DUMMYFUNCTION("""COMPUTED_VALUE"""),"Chemical/Oil Tanker Ice B/IMO 2")</f>
        <v>Chemical/Oil Tanker Ice B/IMO 2</v>
      </c>
      <c r="C190" s="9">
        <f ca="1">IFERROR(__xludf.DUMMYFUNCTION("""COMPUTED_VALUE"""),24925)</f>
        <v>24925</v>
      </c>
      <c r="D190" s="8" t="str">
        <f ca="1">IFERROR(__xludf.DUMMYFUNCTION("""COMPUTED_VALUE"""),"2023-China")</f>
        <v>2023-China</v>
      </c>
      <c r="E190" s="8" t="str">
        <f ca="1">IFERROR(__xludf.DUMMYFUNCTION("""COMPUTED_VALUE"""),"158.69 x 27.00")</f>
        <v>158.69 x 27.00</v>
      </c>
      <c r="F190" s="8" t="str">
        <f ca="1">IFERROR(__xludf.DUMMYFUNCTION("""COMPUTED_VALUE"""),"10")</f>
        <v>10</v>
      </c>
      <c r="G190" s="8">
        <f ca="1">IFERROR(__xludf.DUMMYFUNCTION("""COMPUTED_VALUE"""),25498)</f>
        <v>25498</v>
      </c>
      <c r="H190" s="8" t="str">
        <f ca="1">IFERROR(__xludf.DUMMYFUNCTION("""COMPUTED_VALUE"""),"Y/Y Epoxy ")</f>
        <v xml:space="preserve">Y/Y Epoxy </v>
      </c>
      <c r="I190" s="8" t="str">
        <f ca="1">IFERROR(__xludf.DUMMYFUNCTION("""COMPUTED_VALUE"""),"2 x 1200")</f>
        <v>2 x 1200</v>
      </c>
      <c r="J190" s="8" t="str">
        <f ca="1">IFERROR(__xludf.DUMMYFUNCTION("""COMPUTED_VALUE"""),"Mitsubishi")</f>
        <v>Mitsubishi</v>
      </c>
      <c r="K190" s="8"/>
      <c r="L190" s="8" t="str">
        <f ca="1">IFERROR(__xludf.DUMMYFUNCTION("""COMPUTED_VALUE"""),"To be chkd")</f>
        <v>To be chkd</v>
      </c>
      <c r="M190" s="8" t="str">
        <f ca="1">IFERROR(__xludf.DUMMYFUNCTION("""COMPUTED_VALUE"""),"CCS 3/28D")</f>
        <v>CCS 3/28D</v>
      </c>
      <c r="N190" s="8" t="str">
        <f ca="1">IFERROR(__xludf.DUMMYFUNCTION("""COMPUTED_VALUE"""),"Fareast")</f>
        <v>Fareast</v>
      </c>
      <c r="O190" s="8" t="str">
        <f ca="1">IFERROR(__xludf.DUMMYFUNCTION("""COMPUTED_VALUE"""),"B.offers")</f>
        <v>B.offers</v>
      </c>
    </row>
    <row r="191" spans="1:15" ht="15.75" customHeight="1" x14ac:dyDescent="0.25">
      <c r="A191" s="8" t="str">
        <f ca="1">IFERROR(__xludf.DUMMYFUNCTION("""COMPUTED_VALUE"""),"TA 22780/01")</f>
        <v>TA 22780/01</v>
      </c>
      <c r="B191" s="8" t="str">
        <f ca="1">IFERROR(__xludf.DUMMYFUNCTION("""COMPUTED_VALUE"""),"Oil/Chemical CPP Tanker")</f>
        <v>Oil/Chemical CPP Tanker</v>
      </c>
      <c r="C191" s="9">
        <f ca="1">IFERROR(__xludf.DUMMYFUNCTION("""COMPUTED_VALUE"""),22780)</f>
        <v>22780</v>
      </c>
      <c r="D191" s="8" t="str">
        <f ca="1">IFERROR(__xludf.DUMMYFUNCTION("""COMPUTED_VALUE"""),"2001-Japan")</f>
        <v>2001-Japan</v>
      </c>
      <c r="E191" s="8" t="str">
        <f ca="1">IFERROR(__xludf.DUMMYFUNCTION("""COMPUTED_VALUE"""),"153.2 x 25.00")</f>
        <v>153.2 x 25.00</v>
      </c>
      <c r="F191" s="8" t="str">
        <f ca="1">IFERROR(__xludf.DUMMYFUNCTION("""COMPUTED_VALUE"""),"10")</f>
        <v>10</v>
      </c>
      <c r="G191" s="8">
        <f ca="1">IFERROR(__xludf.DUMMYFUNCTION("""COMPUTED_VALUE"""),26937)</f>
        <v>26937</v>
      </c>
      <c r="H191" s="8" t="str">
        <f ca="1">IFERROR(__xludf.DUMMYFUNCTION("""COMPUTED_VALUE"""),"Y/Y Zinc")</f>
        <v>Y/Y Zinc</v>
      </c>
      <c r="I191" s="8" t="str">
        <f ca="1">IFERROR(__xludf.DUMMYFUNCTION("""COMPUTED_VALUE"""),"10 x 500")</f>
        <v>10 x 500</v>
      </c>
      <c r="J191" s="8" t="str">
        <f ca="1">IFERROR(__xludf.DUMMYFUNCTION("""COMPUTED_VALUE"""),"Akasaka")</f>
        <v>Akasaka</v>
      </c>
      <c r="K191" s="8" t="str">
        <f ca="1">IFERROR(__xludf.DUMMYFUNCTION("""COMPUTED_VALUE"""),"13 k/17.2 t IFO")</f>
        <v>13 k/17.2 t IFO</v>
      </c>
      <c r="L191" s="8" t="str">
        <f ca="1">IFERROR(__xludf.DUMMYFUNCTION("""COMPUTED_VALUE"""),"Fitted")</f>
        <v>Fitted</v>
      </c>
      <c r="M191" s="8" t="str">
        <f ca="1">IFERROR(__xludf.DUMMYFUNCTION("""COMPUTED_VALUE"""),"NK 9/26D")</f>
        <v>NK 9/26D</v>
      </c>
      <c r="N191" s="8" t="str">
        <f ca="1">IFERROR(__xludf.DUMMYFUNCTION("""COMPUTED_VALUE"""),"Asia")</f>
        <v>Asia</v>
      </c>
      <c r="O191" s="8" t="str">
        <f ca="1">IFERROR(__xludf.DUMMYFUNCTION("""COMPUTED_VALUE"""),"B.offers")</f>
        <v>B.offers</v>
      </c>
    </row>
    <row r="192" spans="1:15" ht="15.75" customHeight="1" x14ac:dyDescent="0.25">
      <c r="A192" s="8" t="str">
        <f ca="1">IFERROR(__xludf.DUMMYFUNCTION("""COMPUTED_VALUE"""),"TA 21600/06")</f>
        <v>TA 21600/06</v>
      </c>
      <c r="B192" s="8" t="str">
        <f ca="1">IFERROR(__xludf.DUMMYFUNCTION("""COMPUTED_VALUE"""),"Oil/Chemical IMO II Ice B Tanker")</f>
        <v>Oil/Chemical IMO II Ice B Tanker</v>
      </c>
      <c r="C192" s="9">
        <f ca="1">IFERROR(__xludf.DUMMYFUNCTION("""COMPUTED_VALUE"""),21600)</f>
        <v>21600</v>
      </c>
      <c r="D192" s="8" t="str">
        <f ca="1">IFERROR(__xludf.DUMMYFUNCTION("""COMPUTED_VALUE"""),"2006-Spain")</f>
        <v>2006-Spain</v>
      </c>
      <c r="E192" s="8" t="str">
        <f ca="1">IFERROR(__xludf.DUMMYFUNCTION("""COMPUTED_VALUE"""),"161.08 x 23.00")</f>
        <v>161.08 x 23.00</v>
      </c>
      <c r="F192" s="8" t="str">
        <f ca="1">IFERROR(__xludf.DUMMYFUNCTION("""COMPUTED_VALUE"""),"16")</f>
        <v>16</v>
      </c>
      <c r="G192" s="8" t="str">
        <f ca="1">IFERROR(__xludf.DUMMYFUNCTION("""COMPUTED_VALUE"""),"-")</f>
        <v>-</v>
      </c>
      <c r="H192" s="8" t="str">
        <f ca="1">IFERROR(__xludf.DUMMYFUNCTION("""COMPUTED_VALUE"""),"N/Y Epoxy")</f>
        <v>N/Y Epoxy</v>
      </c>
      <c r="I192" s="8" t="str">
        <f ca="1">IFERROR(__xludf.DUMMYFUNCTION("""COMPUTED_VALUE"""),"14 x 300")</f>
        <v>14 x 300</v>
      </c>
      <c r="J192" s="8" t="str">
        <f ca="1">IFERROR(__xludf.DUMMYFUNCTION("""COMPUTED_VALUE"""),"MAK")</f>
        <v>MAK</v>
      </c>
      <c r="K192" s="8" t="str">
        <f ca="1">IFERROR(__xludf.DUMMYFUNCTION("""COMPUTED_VALUE"""),"-")</f>
        <v>-</v>
      </c>
      <c r="L192" s="8" t="str">
        <f ca="1">IFERROR(__xludf.DUMMYFUNCTION("""COMPUTED_VALUE"""),"To be chkd")</f>
        <v>To be chkd</v>
      </c>
      <c r="M192" s="8" t="str">
        <f ca="1">IFERROR(__xludf.DUMMYFUNCTION("""COMPUTED_VALUE"""),"RINA Ice 1B")</f>
        <v>RINA Ice 1B</v>
      </c>
      <c r="N192" s="8" t="str">
        <f ca="1">IFERROR(__xludf.DUMMYFUNCTION("""COMPUTED_VALUE"""),"Med/Cont")</f>
        <v>Med/Cont</v>
      </c>
      <c r="O192" s="8" t="str">
        <f ca="1">IFERROR(__xludf.DUMMYFUNCTION("""COMPUTED_VALUE"""),"10.5-10.0 m")</f>
        <v>10.5-10.0 m</v>
      </c>
    </row>
    <row r="193" spans="1:15" ht="15.75" customHeight="1" x14ac:dyDescent="0.25">
      <c r="A193" s="8" t="str">
        <f ca="1">IFERROR(__xludf.DUMMYFUNCTION("""COMPUTED_VALUE"""),"TA 20919/21")</f>
        <v>TA 20919/21</v>
      </c>
      <c r="B193" s="8" t="str">
        <f ca="1">IFERROR(__xludf.DUMMYFUNCTION("""COMPUTED_VALUE"""),"St.St. Chemical Tanker IMO II+III")</f>
        <v>St.St. Chemical Tanker IMO II+III</v>
      </c>
      <c r="C193" s="9">
        <f ca="1">IFERROR(__xludf.DUMMYFUNCTION("""COMPUTED_VALUE"""),20919)</f>
        <v>20919</v>
      </c>
      <c r="D193" s="8" t="str">
        <f ca="1">IFERROR(__xludf.DUMMYFUNCTION("""COMPUTED_VALUE"""),"2021-China")</f>
        <v>2021-China</v>
      </c>
      <c r="E193" s="8" t="str">
        <f ca="1">IFERROR(__xludf.DUMMYFUNCTION("""COMPUTED_VALUE"""),"157.01 x 23.00")</f>
        <v>157.01 x 23.00</v>
      </c>
      <c r="F193" s="8" t="str">
        <f ca="1">IFERROR(__xludf.DUMMYFUNCTION("""COMPUTED_VALUE"""),"16")</f>
        <v>16</v>
      </c>
      <c r="G193" s="8">
        <f ca="1">IFERROR(__xludf.DUMMYFUNCTION("""COMPUTED_VALUE"""),25565)</f>
        <v>25565</v>
      </c>
      <c r="H193" s="8" t="str">
        <f ca="1">IFERROR(__xludf.DUMMYFUNCTION("""COMPUTED_VALUE"""),"Y st.st./Y Epoxy")</f>
        <v>Y st.st./Y Epoxy</v>
      </c>
      <c r="I193" s="8" t="str">
        <f ca="1">IFERROR(__xludf.DUMMYFUNCTION("""COMPUTED_VALUE"""),"14 x 250")</f>
        <v>14 x 250</v>
      </c>
      <c r="J193" s="8" t="str">
        <f ca="1">IFERROR(__xludf.DUMMYFUNCTION("""COMPUTED_VALUE"""),"Bergens")</f>
        <v>Bergens</v>
      </c>
      <c r="K193" s="8" t="str">
        <f ca="1">IFERROR(__xludf.DUMMYFUNCTION("""COMPUTED_VALUE"""),"-")</f>
        <v>-</v>
      </c>
      <c r="L193" s="8" t="str">
        <f ca="1">IFERROR(__xludf.DUMMYFUNCTION("""COMPUTED_VALUE"""),"To be chkd")</f>
        <v>To be chkd</v>
      </c>
      <c r="M193" s="8" t="str">
        <f ca="1">IFERROR(__xludf.DUMMYFUNCTION("""COMPUTED_VALUE"""),"AB RI 10/26D")</f>
        <v>AB RI 10/26D</v>
      </c>
      <c r="N193" s="8" t="str">
        <f ca="1">IFERROR(__xludf.DUMMYFUNCTION("""COMPUTED_VALUE"""),"India")</f>
        <v>India</v>
      </c>
      <c r="O193" s="8" t="str">
        <f ca="1">IFERROR(__xludf.DUMMYFUNCTION("""COMPUTED_VALUE"""),"B.offers")</f>
        <v>B.offers</v>
      </c>
    </row>
    <row r="194" spans="1:15" ht="15.75" customHeight="1" x14ac:dyDescent="0.25">
      <c r="A194" s="8" t="str">
        <f ca="1">IFERROR(__xludf.DUMMYFUNCTION("""COMPUTED_VALUE"""),"TA 19999/08")</f>
        <v>TA 19999/08</v>
      </c>
      <c r="B194" s="8" t="str">
        <f ca="1">IFERROR(__xludf.DUMMYFUNCTION("""COMPUTED_VALUE"""),"Chemical Product Tanker")</f>
        <v>Chemical Product Tanker</v>
      </c>
      <c r="C194" s="9">
        <f ca="1">IFERROR(__xludf.DUMMYFUNCTION("""COMPUTED_VALUE"""),19999)</f>
        <v>19999</v>
      </c>
      <c r="D194" s="8" t="str">
        <f ca="1">IFERROR(__xludf.DUMMYFUNCTION("""COMPUTED_VALUE"""),"2008-Turkey")</f>
        <v>2008-Turkey</v>
      </c>
      <c r="E194" s="8" t="str">
        <f ca="1">IFERROR(__xludf.DUMMYFUNCTION("""COMPUTED_VALUE"""),"162.90 x 22.40")</f>
        <v>162.90 x 22.40</v>
      </c>
      <c r="F194" s="8" t="str">
        <f ca="1">IFERROR(__xludf.DUMMYFUNCTION("""COMPUTED_VALUE"""),"22")</f>
        <v>22</v>
      </c>
      <c r="G194" s="8">
        <f ca="1">IFERROR(__xludf.DUMMYFUNCTION("""COMPUTED_VALUE"""),23069)</f>
        <v>23069</v>
      </c>
      <c r="H194" s="8" t="str">
        <f ca="1">IFERROR(__xludf.DUMMYFUNCTION("""COMPUTED_VALUE"""),"Y st.st / Y Epoxy")</f>
        <v>Y st.st / Y Epoxy</v>
      </c>
      <c r="I194" s="8" t="str">
        <f ca="1">IFERROR(__xludf.DUMMYFUNCTION("""COMPUTED_VALUE"""),"16x375/2x150/2x100..")</f>
        <v>16x375/2x150/2x100..</v>
      </c>
      <c r="J194" s="8" t="str">
        <f ca="1">IFERROR(__xludf.DUMMYFUNCTION("""COMPUTED_VALUE"""),"MAN-B&amp;W")</f>
        <v>MAN-B&amp;W</v>
      </c>
      <c r="K194" s="8" t="str">
        <f ca="1">IFERROR(__xludf.DUMMYFUNCTION("""COMPUTED_VALUE"""),"11 k/15.5 t")</f>
        <v>11 k/15.5 t</v>
      </c>
      <c r="L194" s="8" t="str">
        <f ca="1">IFERROR(__xludf.DUMMYFUNCTION("""COMPUTED_VALUE"""),"Fitted")</f>
        <v>Fitted</v>
      </c>
      <c r="M194" s="8" t="str">
        <f ca="1">IFERROR(__xludf.DUMMYFUNCTION("""COMPUTED_VALUE"""),"CR Ice 1C 3/28")</f>
        <v>CR Ice 1C 3/28</v>
      </c>
      <c r="N194" s="8" t="str">
        <f ca="1">IFERROR(__xludf.DUMMYFUNCTION("""COMPUTED_VALUE"""),"Suez")</f>
        <v>Suez</v>
      </c>
      <c r="O194" s="8" t="str">
        <f ca="1">IFERROR(__xludf.DUMMYFUNCTION("""COMPUTED_VALUE"""),"17-16.0 m")</f>
        <v>17-16.0 m</v>
      </c>
    </row>
    <row r="195" spans="1:15" ht="15.75" customHeight="1" x14ac:dyDescent="0.25">
      <c r="A195" s="8" t="str">
        <f ca="1">IFERROR(__xludf.DUMMYFUNCTION("""COMPUTED_VALUE"""),"TA19999/09")</f>
        <v>TA19999/09</v>
      </c>
      <c r="B195" s="8" t="str">
        <f ca="1">IFERROR(__xludf.DUMMYFUNCTION("""COMPUTED_VALUE"""),"Oil/Chemical IMO 2&amp;3 Tanker")</f>
        <v>Oil/Chemical IMO 2&amp;3 Tanker</v>
      </c>
      <c r="C195" s="9">
        <f ca="1">IFERROR(__xludf.DUMMYFUNCTION("""COMPUTED_VALUE"""),19999)</f>
        <v>19999</v>
      </c>
      <c r="D195" s="8" t="str">
        <f ca="1">IFERROR(__xludf.DUMMYFUNCTION("""COMPUTED_VALUE"""),"2009-Turkey")</f>
        <v>2009-Turkey</v>
      </c>
      <c r="E195" s="8" t="str">
        <f ca="1">IFERROR(__xludf.DUMMYFUNCTION("""COMPUTED_VALUE"""),"162.90 x 22.40")</f>
        <v>162.90 x 22.40</v>
      </c>
      <c r="F195" s="8" t="str">
        <f ca="1">IFERROR(__xludf.DUMMYFUNCTION("""COMPUTED_VALUE"""),"22")</f>
        <v>22</v>
      </c>
      <c r="G195" s="8">
        <f ca="1">IFERROR(__xludf.DUMMYFUNCTION("""COMPUTED_VALUE"""),23516)</f>
        <v>23516</v>
      </c>
      <c r="H195" s="8" t="str">
        <f ca="1">IFERROR(__xludf.DUMMYFUNCTION("""COMPUTED_VALUE"""),"Yst.st/Y Epoxy")</f>
        <v>Yst.st/Y Epoxy</v>
      </c>
      <c r="I195" s="8" t="str">
        <f ca="1">IFERROR(__xludf.DUMMYFUNCTION("""COMPUTED_VALUE"""),"16x375/2x150/2x100/70")</f>
        <v>16x375/2x150/2x100/70</v>
      </c>
      <c r="J195" s="8" t="str">
        <f ca="1">IFERROR(__xludf.DUMMYFUNCTION("""COMPUTED_VALUE"""),"MAN-B&amp;W")</f>
        <v>MAN-B&amp;W</v>
      </c>
      <c r="K195" s="8" t="str">
        <f ca="1">IFERROR(__xludf.DUMMYFUNCTION("""COMPUTED_VALUE"""),"11 k/18.6t ifo380")</f>
        <v>11 k/18.6t ifo380</v>
      </c>
      <c r="L195" s="8" t="str">
        <f ca="1">IFERROR(__xludf.DUMMYFUNCTION("""COMPUTED_VALUE"""),"Fitted")</f>
        <v>Fitted</v>
      </c>
      <c r="M195" s="8" t="str">
        <f ca="1">IFERROR(__xludf.DUMMYFUNCTION("""COMPUTED_VALUE"""),"AB ss 2030")</f>
        <v>AB ss 2030</v>
      </c>
      <c r="N195" s="8" t="str">
        <f ca="1">IFERROR(__xludf.DUMMYFUNCTION("""COMPUTED_VALUE"""),"Maersk Pool")</f>
        <v>Maersk Pool</v>
      </c>
      <c r="O195" s="8" t="str">
        <f ca="1">IFERROR(__xludf.DUMMYFUNCTION("""COMPUTED_VALUE"""),"B.offers")</f>
        <v>B.offers</v>
      </c>
    </row>
    <row r="196" spans="1:15" ht="15.75" customHeight="1" x14ac:dyDescent="0.25">
      <c r="A196" s="8" t="str">
        <f ca="1">IFERROR(__xludf.DUMMYFUNCTION("""COMPUTED_VALUE"""),"TA 19997/04")</f>
        <v>TA 19997/04</v>
      </c>
      <c r="B196" s="8" t="str">
        <f ca="1">IFERROR(__xludf.DUMMYFUNCTION("""COMPUTED_VALUE"""),"Oil/Chemical Tanker")</f>
        <v>Oil/Chemical Tanker</v>
      </c>
      <c r="C196" s="9">
        <f ca="1">IFERROR(__xludf.DUMMYFUNCTION("""COMPUTED_VALUE"""),19997)</f>
        <v>19997</v>
      </c>
      <c r="D196" s="8" t="str">
        <f ca="1">IFERROR(__xludf.DUMMYFUNCTION("""COMPUTED_VALUE"""),"2004-Japan")</f>
        <v>2004-Japan</v>
      </c>
      <c r="E196" s="8" t="str">
        <f ca="1">IFERROR(__xludf.DUMMYFUNCTION("""COMPUTED_VALUE"""),"147.83 x 24.24")</f>
        <v>147.83 x 24.24</v>
      </c>
      <c r="F196" s="8">
        <f ca="1">IFERROR(__xludf.DUMMYFUNCTION("""COMPUTED_VALUE"""),12)</f>
        <v>12</v>
      </c>
      <c r="G196" s="8">
        <f ca="1">IFERROR(__xludf.DUMMYFUNCTION("""COMPUTED_VALUE"""),20862)</f>
        <v>20862</v>
      </c>
      <c r="H196" s="8" t="str">
        <f ca="1">IFERROR(__xludf.DUMMYFUNCTION("""COMPUTED_VALUE"""),"Y st.st./Y St.St.")</f>
        <v>Y st.st./Y St.St.</v>
      </c>
      <c r="I196" s="8" t="str">
        <f ca="1">IFERROR(__xludf.DUMMYFUNCTION("""COMPUTED_VALUE"""),"6 x 330+5 x 200+70")</f>
        <v>6 x 330+5 x 200+70</v>
      </c>
      <c r="J196" s="8" t="str">
        <f ca="1">IFERROR(__xludf.DUMMYFUNCTION("""COMPUTED_VALUE"""),"Mitsubishi")</f>
        <v>Mitsubishi</v>
      </c>
      <c r="K196" s="8" t="str">
        <f ca="1">IFERROR(__xludf.DUMMYFUNCTION("""COMPUTED_VALUE"""),"-")</f>
        <v>-</v>
      </c>
      <c r="L196" s="8" t="str">
        <f ca="1">IFERROR(__xludf.DUMMYFUNCTION("""COMPUTED_VALUE"""),"Fitted")</f>
        <v>Fitted</v>
      </c>
      <c r="M196" s="8" t="str">
        <f ca="1">IFERROR(__xludf.DUMMYFUNCTION("""COMPUTED_VALUE"""),"KR 8.29 D")</f>
        <v>KR 8.29 D</v>
      </c>
      <c r="N196" s="8" t="str">
        <f ca="1">IFERROR(__xludf.DUMMYFUNCTION("""COMPUTED_VALUE"""),"Womar Pool")</f>
        <v>Womar Pool</v>
      </c>
      <c r="O196" s="8" t="str">
        <f ca="1">IFERROR(__xludf.DUMMYFUNCTION("""COMPUTED_VALUE"""),"B.offers")</f>
        <v>B.offers</v>
      </c>
    </row>
    <row r="197" spans="1:15" ht="15.75" customHeight="1" x14ac:dyDescent="0.25">
      <c r="A197" s="8" t="str">
        <f ca="1">IFERROR(__xludf.DUMMYFUNCTION("""COMPUTED_VALUE"""),"TA 19993/09")</f>
        <v>TA 19993/09</v>
      </c>
      <c r="B197" s="8" t="str">
        <f ca="1">IFERROR(__xludf.DUMMYFUNCTION("""COMPUTED_VALUE"""),"Oil/Chemical IMO 2&amp;3 Tanker")</f>
        <v>Oil/Chemical IMO 2&amp;3 Tanker</v>
      </c>
      <c r="C197" s="9">
        <f ca="1">IFERROR(__xludf.DUMMYFUNCTION("""COMPUTED_VALUE"""),19993)</f>
        <v>19993</v>
      </c>
      <c r="D197" s="8" t="str">
        <f ca="1">IFERROR(__xludf.DUMMYFUNCTION("""COMPUTED_VALUE"""),"2009-Korea")</f>
        <v>2009-Korea</v>
      </c>
      <c r="E197" s="8" t="str">
        <f ca="1">IFERROR(__xludf.DUMMYFUNCTION("""COMPUTED_VALUE"""),"149.61 x 24.20")</f>
        <v>149.61 x 24.20</v>
      </c>
      <c r="F197" s="8">
        <f ca="1">IFERROR(__xludf.DUMMYFUNCTION("""COMPUTED_VALUE"""),16)</f>
        <v>16</v>
      </c>
      <c r="G197" s="8">
        <f ca="1">IFERROR(__xludf.DUMMYFUNCTION("""COMPUTED_VALUE"""),21500)</f>
        <v>21500</v>
      </c>
      <c r="H197" s="8" t="str">
        <f ca="1">IFERROR(__xludf.DUMMYFUNCTION("""COMPUTED_VALUE"""),"Y st.st/Y Epoxy")</f>
        <v>Y st.st/Y Epoxy</v>
      </c>
      <c r="I197" s="8" t="str">
        <f ca="1">IFERROR(__xludf.DUMMYFUNCTION("""COMPUTED_VALUE"""),"14x185+4x100 Deepw")</f>
        <v>14x185+4x100 Deepw</v>
      </c>
      <c r="J197" s="8" t="str">
        <f ca="1">IFERROR(__xludf.DUMMYFUNCTION("""COMPUTED_VALUE"""),"MAN-B&amp;W")</f>
        <v>MAN-B&amp;W</v>
      </c>
      <c r="K197" s="8" t="str">
        <f ca="1">IFERROR(__xludf.DUMMYFUNCTION("""COMPUTED_VALUE"""),"12k/14.5t MGO")</f>
        <v>12k/14.5t MGO</v>
      </c>
      <c r="L197" s="8" t="str">
        <f ca="1">IFERROR(__xludf.DUMMYFUNCTION("""COMPUTED_VALUE"""),"To be chkd")</f>
        <v>To be chkd</v>
      </c>
      <c r="M197" s="8" t="str">
        <f ca="1">IFERROR(__xludf.DUMMYFUNCTION("""COMPUTED_VALUE"""),"DNV-GL 2/29D")</f>
        <v>DNV-GL 2/29D</v>
      </c>
      <c r="N197" s="8" t="str">
        <f ca="1">IFERROR(__xludf.DUMMYFUNCTION("""COMPUTED_VALUE"""),"Turkey")</f>
        <v>Turkey</v>
      </c>
      <c r="O197" s="8" t="str">
        <f ca="1">IFERROR(__xludf.DUMMYFUNCTION("""COMPUTED_VALUE"""),"B.offers")</f>
        <v>B.offers</v>
      </c>
    </row>
    <row r="198" spans="1:15" ht="15.75" customHeight="1" x14ac:dyDescent="0.25">
      <c r="A198" s="8" t="str">
        <f ca="1">IFERROR(__xludf.DUMMYFUNCTION("""COMPUTED_VALUE"""),"TA 19909/12")</f>
        <v>TA 19909/12</v>
      </c>
      <c r="B198" s="8" t="str">
        <f ca="1">IFERROR(__xludf.DUMMYFUNCTION("""COMPUTED_VALUE"""),"Chemical Products IMO 2 Tk")</f>
        <v>Chemical Products IMO 2 Tk</v>
      </c>
      <c r="C198" s="9">
        <f ca="1">IFERROR(__xludf.DUMMYFUNCTION("""COMPUTED_VALUE"""),19909)</f>
        <v>19909</v>
      </c>
      <c r="D198" s="8" t="str">
        <f ca="1">IFERROR(__xludf.DUMMYFUNCTION("""COMPUTED_VALUE"""),"2012-China")</f>
        <v>2012-China</v>
      </c>
      <c r="E198" s="8" t="str">
        <f ca="1">IFERROR(__xludf.DUMMYFUNCTION("""COMPUTED_VALUE"""),"159.6 x 24.00")</f>
        <v>159.6 x 24.00</v>
      </c>
      <c r="F198" s="8" t="str">
        <f ca="1">IFERROR(__xludf.DUMMYFUNCTION("""COMPUTED_VALUE"""),"12")</f>
        <v>12</v>
      </c>
      <c r="G198" s="8">
        <f ca="1">IFERROR(__xludf.DUMMYFUNCTION("""COMPUTED_VALUE"""),22212)</f>
        <v>22212</v>
      </c>
      <c r="H198" s="8" t="str">
        <f ca="1">IFERROR(__xludf.DUMMYFUNCTION("""COMPUTED_VALUE"""),"N/Y Epoxy")</f>
        <v>N/Y Epoxy</v>
      </c>
      <c r="I198" s="8" t="str">
        <f ca="1">IFERROR(__xludf.DUMMYFUNCTION("""COMPUTED_VALUE"""),"2 x 1500")</f>
        <v>2 x 1500</v>
      </c>
      <c r="J198" s="8" t="str">
        <f ca="1">IFERROR(__xludf.DUMMYFUNCTION("""COMPUTED_VALUE"""),"MAN-B&amp;W")</f>
        <v>MAN-B&amp;W</v>
      </c>
      <c r="K198" s="8" t="str">
        <f ca="1">IFERROR(__xludf.DUMMYFUNCTION("""COMPUTED_VALUE"""),"13.5 k/18.7 t")</f>
        <v>13.5 k/18.7 t</v>
      </c>
      <c r="L198" s="8" t="str">
        <f ca="1">IFERROR(__xludf.DUMMYFUNCTION("""COMPUTED_VALUE"""),"Fitted")</f>
        <v>Fitted</v>
      </c>
      <c r="M198" s="8" t="str">
        <f ca="1">IFERROR(__xludf.DUMMYFUNCTION("""COMPUTED_VALUE"""),"CCS 5/29D")</f>
        <v>CCS 5/29D</v>
      </c>
      <c r="N198" s="8" t="str">
        <f ca="1">IFERROR(__xludf.DUMMYFUNCTION("""COMPUTED_VALUE"""),"Singapore")</f>
        <v>Singapore</v>
      </c>
      <c r="O198" s="8" t="str">
        <f ca="1">IFERROR(__xludf.DUMMYFUNCTION("""COMPUTED_VALUE"""),"13.8-13.5")</f>
        <v>13.8-13.5</v>
      </c>
    </row>
    <row r="199" spans="1:15" ht="15.75" customHeight="1" x14ac:dyDescent="0.25">
      <c r="A199" s="8" t="str">
        <f ca="1">IFERROR(__xludf.DUMMYFUNCTION("""COMPUTED_VALUE"""),"TA 19870/05")</f>
        <v>TA 19870/05</v>
      </c>
      <c r="B199" s="8" t="str">
        <f ca="1">IFERROR(__xludf.DUMMYFUNCTION("""COMPUTED_VALUE"""),"St.St J19 Chemical Tker")</f>
        <v>St.St J19 Chemical Tker</v>
      </c>
      <c r="C199" s="9">
        <f ca="1">IFERROR(__xludf.DUMMYFUNCTION("""COMPUTED_VALUE"""),19870)</f>
        <v>19870</v>
      </c>
      <c r="D199" s="8" t="str">
        <f ca="1">IFERROR(__xludf.DUMMYFUNCTION("""COMPUTED_VALUE"""),"2005-Japan")</f>
        <v>2005-Japan</v>
      </c>
      <c r="E199" s="8" t="str">
        <f ca="1">IFERROR(__xludf.DUMMYFUNCTION("""COMPUTED_VALUE"""),"146.0 x 24.22")</f>
        <v>146.0 x 24.22</v>
      </c>
      <c r="F199" s="8" t="str">
        <f ca="1">IFERROR(__xludf.DUMMYFUNCTION("""COMPUTED_VALUE"""),"22")</f>
        <v>22</v>
      </c>
      <c r="G199" s="8">
        <f ca="1">IFERROR(__xludf.DUMMYFUNCTION("""COMPUTED_VALUE"""),21657)</f>
        <v>21657</v>
      </c>
      <c r="H199" s="8" t="str">
        <f ca="1">IFERROR(__xludf.DUMMYFUNCTION("""COMPUTED_VALUE"""),"N/Y st.st. Tks")</f>
        <v>N/Y st.st. Tks</v>
      </c>
      <c r="I199" s="8" t="str">
        <f ca="1">IFERROR(__xludf.DUMMYFUNCTION("""COMPUTED_VALUE"""),"10x300+12x200")</f>
        <v>10x300+12x200</v>
      </c>
      <c r="J199" s="8" t="str">
        <f ca="1">IFERROR(__xludf.DUMMYFUNCTION("""COMPUTED_VALUE"""),"B&amp;W-Hitach")</f>
        <v>B&amp;W-Hitach</v>
      </c>
      <c r="K199" s="8" t="str">
        <f ca="1">IFERROR(__xludf.DUMMYFUNCTION("""COMPUTED_VALUE"""),"14.5k/25t IFO")</f>
        <v>14.5k/25t IFO</v>
      </c>
      <c r="L199" s="8" t="str">
        <f ca="1">IFERROR(__xludf.DUMMYFUNCTION("""COMPUTED_VALUE"""),"Fitted")</f>
        <v>Fitted</v>
      </c>
      <c r="M199" s="8" t="str">
        <f ca="1">IFERROR(__xludf.DUMMYFUNCTION("""COMPUTED_VALUE"""),"KR 11.29D")</f>
        <v>KR 11.29D</v>
      </c>
      <c r="N199" s="8" t="str">
        <f ca="1">IFERROR(__xludf.DUMMYFUNCTION("""COMPUTED_VALUE"""),"Fareast")</f>
        <v>Fareast</v>
      </c>
      <c r="O199" s="8" t="str">
        <f ca="1">IFERROR(__xludf.DUMMYFUNCTION("""COMPUTED_VALUE"""),"B.offers")</f>
        <v>B.offers</v>
      </c>
    </row>
    <row r="200" spans="1:15" ht="15.75" customHeight="1" x14ac:dyDescent="0.25">
      <c r="A200" s="8" t="str">
        <f ca="1">IFERROR(__xludf.DUMMYFUNCTION("""COMPUTED_VALUE"""),"TA 19700/00")</f>
        <v>TA 19700/00</v>
      </c>
      <c r="B200" s="8" t="str">
        <f ca="1">IFERROR(__xludf.DUMMYFUNCTION("""COMPUTED_VALUE"""),"St.St Chemical Tank IMO I+II")</f>
        <v>St.St Chemical Tank IMO I+II</v>
      </c>
      <c r="C200" s="9">
        <f ca="1">IFERROR(__xludf.DUMMYFUNCTION("""COMPUTED_VALUE"""),19700)</f>
        <v>19700</v>
      </c>
      <c r="D200" s="8" t="str">
        <f ca="1">IFERROR(__xludf.DUMMYFUNCTION("""COMPUTED_VALUE"""),"2000-Spain")</f>
        <v>2000-Spain</v>
      </c>
      <c r="E200" s="8" t="str">
        <f ca="1">IFERROR(__xludf.DUMMYFUNCTION("""COMPUTED_VALUE"""),"151.48 x 23.50")</f>
        <v>151.48 x 23.50</v>
      </c>
      <c r="F200" s="8" t="str">
        <f ca="1">IFERROR(__xludf.DUMMYFUNCTION("""COMPUTED_VALUE"""),"29")</f>
        <v>29</v>
      </c>
      <c r="G200" s="8">
        <f ca="1">IFERROR(__xludf.DUMMYFUNCTION("""COMPUTED_VALUE"""),20323)</f>
        <v>20323</v>
      </c>
      <c r="H200" s="8" t="str">
        <f ca="1">IFERROR(__xludf.DUMMYFUNCTION("""COMPUTED_VALUE"""),"Y St.St/Y St.St.")</f>
        <v>Y St.St/Y St.St.</v>
      </c>
      <c r="I200" s="8" t="str">
        <f ca="1">IFERROR(__xludf.DUMMYFUNCTION("""COMPUTED_VALUE"""),"20 x 300+9x200")</f>
        <v>20 x 300+9x200</v>
      </c>
      <c r="J200" s="8" t="str">
        <f ca="1">IFERROR(__xludf.DUMMYFUNCTION("""COMPUTED_VALUE"""),"MAN-B&amp;W")</f>
        <v>MAN-B&amp;W</v>
      </c>
      <c r="K200" s="8" t="str">
        <f ca="1">IFERROR(__xludf.DUMMYFUNCTION("""COMPUTED_VALUE"""),"-")</f>
        <v>-</v>
      </c>
      <c r="L200" s="8" t="str">
        <f ca="1">IFERROR(__xludf.DUMMYFUNCTION("""COMPUTED_VALUE"""),"To be chkd")</f>
        <v>To be chkd</v>
      </c>
      <c r="M200" s="8" t="str">
        <f ca="1">IFERROR(__xludf.DUMMYFUNCTION("""COMPUTED_VALUE"""),"NV 4.25P")</f>
        <v>NV 4.25P</v>
      </c>
      <c r="N200" s="8" t="str">
        <f ca="1">IFERROR(__xludf.DUMMYFUNCTION("""COMPUTED_VALUE"""),"Fujairah")</f>
        <v>Fujairah</v>
      </c>
      <c r="O200" s="8" t="str">
        <f ca="1">IFERROR(__xludf.DUMMYFUNCTION("""COMPUTED_VALUE"""),"B.offers")</f>
        <v>B.offers</v>
      </c>
    </row>
    <row r="201" spans="1:15" ht="15.75" customHeight="1" x14ac:dyDescent="0.25">
      <c r="A201" s="8" t="str">
        <f ca="1">IFERROR(__xludf.DUMMYFUNCTION("""COMPUTED_VALUE"""),"TA 19700/99")</f>
        <v>TA 19700/99</v>
      </c>
      <c r="B201" s="8" t="str">
        <f ca="1">IFERROR(__xludf.DUMMYFUNCTION("""COMPUTED_VALUE"""),"St.St Chemical Tank IMO I+II")</f>
        <v>St.St Chemical Tank IMO I+II</v>
      </c>
      <c r="C201" s="9">
        <f ca="1">IFERROR(__xludf.DUMMYFUNCTION("""COMPUTED_VALUE"""),19700)</f>
        <v>19700</v>
      </c>
      <c r="D201" s="8" t="str">
        <f ca="1">IFERROR(__xludf.DUMMYFUNCTION("""COMPUTED_VALUE"""),"1999-Spain")</f>
        <v>1999-Spain</v>
      </c>
      <c r="E201" s="8" t="str">
        <f ca="1">IFERROR(__xludf.DUMMYFUNCTION("""COMPUTED_VALUE"""),"151.48 x 23.50")</f>
        <v>151.48 x 23.50</v>
      </c>
      <c r="F201" s="8" t="str">
        <f ca="1">IFERROR(__xludf.DUMMYFUNCTION("""COMPUTED_VALUE"""),"29")</f>
        <v>29</v>
      </c>
      <c r="G201" s="8">
        <f ca="1">IFERROR(__xludf.DUMMYFUNCTION("""COMPUTED_VALUE"""),20323)</f>
        <v>20323</v>
      </c>
      <c r="H201" s="8" t="str">
        <f ca="1">IFERROR(__xludf.DUMMYFUNCTION("""COMPUTED_VALUE"""),"Y St.St/Y St.St.")</f>
        <v>Y St.St/Y St.St.</v>
      </c>
      <c r="I201" s="8" t="str">
        <f ca="1">IFERROR(__xludf.DUMMYFUNCTION("""COMPUTED_VALUE"""),"21 x 300+9x200")</f>
        <v>21 x 300+9x200</v>
      </c>
      <c r="J201" s="8" t="str">
        <f ca="1">IFERROR(__xludf.DUMMYFUNCTION("""COMPUTED_VALUE"""),"MAN-B&amp;W")</f>
        <v>MAN-B&amp;W</v>
      </c>
      <c r="K201" s="8" t="str">
        <f ca="1">IFERROR(__xludf.DUMMYFUNCTION("""COMPUTED_VALUE"""),"-")</f>
        <v>-</v>
      </c>
      <c r="L201" s="8" t="str">
        <f ca="1">IFERROR(__xludf.DUMMYFUNCTION("""COMPUTED_VALUE"""),"To be chkd")</f>
        <v>To be chkd</v>
      </c>
      <c r="M201" s="8" t="str">
        <f ca="1">IFERROR(__xludf.DUMMYFUNCTION("""COMPUTED_VALUE"""),"NV 12.24p")</f>
        <v>NV 12.24p</v>
      </c>
      <c r="N201" s="8" t="str">
        <f ca="1">IFERROR(__xludf.DUMMYFUNCTION("""COMPUTED_VALUE"""),"Ulsan")</f>
        <v>Ulsan</v>
      </c>
      <c r="O201" s="8" t="str">
        <f ca="1">IFERROR(__xludf.DUMMYFUNCTION("""COMPUTED_VALUE"""),"B.offers")</f>
        <v>B.offers</v>
      </c>
    </row>
    <row r="202" spans="1:15" ht="15.75" customHeight="1" x14ac:dyDescent="0.25">
      <c r="A202" s="8" t="str">
        <f ca="1">IFERROR(__xludf.DUMMYFUNCTION("""COMPUTED_VALUE"""),"TA 19101/21")</f>
        <v>TA 19101/21</v>
      </c>
      <c r="B202" s="8" t="str">
        <f ca="1">IFERROR(__xludf.DUMMYFUNCTION("""COMPUTED_VALUE"""),"St.St. Chemical Tanker IMO II+III")</f>
        <v>St.St. Chemical Tanker IMO II+III</v>
      </c>
      <c r="C202" s="9">
        <f ca="1">IFERROR(__xludf.DUMMYFUNCTION("""COMPUTED_VALUE"""),19101)</f>
        <v>19101</v>
      </c>
      <c r="D202" s="8" t="str">
        <f ca="1">IFERROR(__xludf.DUMMYFUNCTION("""COMPUTED_VALUE"""),"2021-China")</f>
        <v>2021-China</v>
      </c>
      <c r="E202" s="8" t="str">
        <f ca="1">IFERROR(__xludf.DUMMYFUNCTION("""COMPUTED_VALUE"""),"145.65 x 23.00")</f>
        <v>145.65 x 23.00</v>
      </c>
      <c r="F202" s="8" t="str">
        <f ca="1">IFERROR(__xludf.DUMMYFUNCTION("""COMPUTED_VALUE"""),"18")</f>
        <v>18</v>
      </c>
      <c r="G202" s="8">
        <f ca="1">IFERROR(__xludf.DUMMYFUNCTION("""COMPUTED_VALUE"""),21021)</f>
        <v>21021</v>
      </c>
      <c r="H202" s="8" t="str">
        <f ca="1">IFERROR(__xludf.DUMMYFUNCTION("""COMPUTED_VALUE"""),"Y St.St/Y St.St.")</f>
        <v>Y St.St/Y St.St.</v>
      </c>
      <c r="I202" s="8" t="str">
        <f ca="1">IFERROR(__xludf.DUMMYFUNCTION("""COMPUTED_VALUE"""),"18 x 250")</f>
        <v>18 x 250</v>
      </c>
      <c r="J202" s="8" t="str">
        <f ca="1">IFERROR(__xludf.DUMMYFUNCTION("""COMPUTED_VALUE"""),"Bergens")</f>
        <v>Bergens</v>
      </c>
      <c r="K202" s="8" t="str">
        <f ca="1">IFERROR(__xludf.DUMMYFUNCTION("""COMPUTED_VALUE"""),"-")</f>
        <v>-</v>
      </c>
      <c r="L202" s="8" t="str">
        <f ca="1">IFERROR(__xludf.DUMMYFUNCTION("""COMPUTED_VALUE"""),"To be chkd")</f>
        <v>To be chkd</v>
      </c>
      <c r="M202" s="8" t="str">
        <f ca="1">IFERROR(__xludf.DUMMYFUNCTION("""COMPUTED_VALUE"""),"AB RI 8/26D")</f>
        <v>AB RI 8/26D</v>
      </c>
      <c r="N202" s="8" t="str">
        <f ca="1">IFERROR(__xludf.DUMMYFUNCTION("""COMPUTED_VALUE"""),"Gibraltar")</f>
        <v>Gibraltar</v>
      </c>
      <c r="O202" s="8" t="str">
        <f ca="1">IFERROR(__xludf.DUMMYFUNCTION("""COMPUTED_VALUE"""),"B.offers")</f>
        <v>B.offers</v>
      </c>
    </row>
    <row r="203" spans="1:15" ht="15.75" customHeight="1" x14ac:dyDescent="0.25">
      <c r="A203" s="8" t="str">
        <f ca="1">IFERROR(__xludf.DUMMYFUNCTION("""COMPUTED_VALUE"""),"TA 19098/10")</f>
        <v>TA 19098/10</v>
      </c>
      <c r="B203" s="8" t="str">
        <f ca="1">IFERROR(__xludf.DUMMYFUNCTION("""COMPUTED_VALUE"""),"Chemical/Oil Tanker")</f>
        <v>Chemical/Oil Tanker</v>
      </c>
      <c r="C203" s="9">
        <f ca="1">IFERROR(__xludf.DUMMYFUNCTION("""COMPUTED_VALUE"""),19098)</f>
        <v>19098</v>
      </c>
      <c r="D203" s="8" t="str">
        <f ca="1">IFERROR(__xludf.DUMMYFUNCTION("""COMPUTED_VALUE"""),"2010-China")</f>
        <v>2010-China</v>
      </c>
      <c r="E203" s="8" t="str">
        <f ca="1">IFERROR(__xludf.DUMMYFUNCTION("""COMPUTED_VALUE"""),"149.79 x 24.00")</f>
        <v>149.79 x 24.00</v>
      </c>
      <c r="F203" s="8" t="str">
        <f ca="1">IFERROR(__xludf.DUMMYFUNCTION("""COMPUTED_VALUE"""),"14")</f>
        <v>14</v>
      </c>
      <c r="G203" s="8">
        <f ca="1">IFERROR(__xludf.DUMMYFUNCTION("""COMPUTED_VALUE"""),20949)</f>
        <v>20949</v>
      </c>
      <c r="H203" s="8" t="str">
        <f ca="1">IFERROR(__xludf.DUMMYFUNCTION("""COMPUTED_VALUE"""),"N/Y Epoxy Phen.")</f>
        <v>N/Y Epoxy Phen.</v>
      </c>
      <c r="I203" s="8" t="str">
        <f ca="1">IFERROR(__xludf.DUMMYFUNCTION("""COMPUTED_VALUE"""),"Framo subm.")</f>
        <v>Framo subm.</v>
      </c>
      <c r="J203" s="8" t="str">
        <f ca="1">IFERROR(__xludf.DUMMYFUNCTION("""COMPUTED_VALUE"""),"MAN-B&amp;W")</f>
        <v>MAN-B&amp;W</v>
      </c>
      <c r="K203" s="8" t="str">
        <f ca="1">IFERROR(__xludf.DUMMYFUNCTION("""COMPUTED_VALUE"""),"-")</f>
        <v>-</v>
      </c>
      <c r="L203" s="8" t="str">
        <f ca="1">IFERROR(__xludf.DUMMYFUNCTION("""COMPUTED_VALUE"""),"Fitted")</f>
        <v>Fitted</v>
      </c>
      <c r="M203" s="8" t="str">
        <f ca="1">IFERROR(__xludf.DUMMYFUNCTION("""COMPUTED_VALUE"""),"CCS 7/29D")</f>
        <v>CCS 7/29D</v>
      </c>
      <c r="N203" s="8" t="str">
        <f ca="1">IFERROR(__xludf.DUMMYFUNCTION("""COMPUTED_VALUE"""),"Fareast")</f>
        <v>Fareast</v>
      </c>
      <c r="O203" s="8" t="str">
        <f ca="1">IFERROR(__xludf.DUMMYFUNCTION("""COMPUTED_VALUE"""),"B.offers")</f>
        <v>B.offers</v>
      </c>
    </row>
    <row r="204" spans="1:15" ht="15.75" customHeight="1" x14ac:dyDescent="0.25">
      <c r="A204" s="8" t="str">
        <f ca="1">IFERROR(__xludf.DUMMYFUNCTION("""COMPUTED_VALUE"""),"TA 18884/11")</f>
        <v>TA 18884/11</v>
      </c>
      <c r="B204" s="8" t="str">
        <f ca="1">IFERROR(__xludf.DUMMYFUNCTION("""COMPUTED_VALUE"""),"Products Tanker")</f>
        <v>Products Tanker</v>
      </c>
      <c r="C204" s="9">
        <f ca="1">IFERROR(__xludf.DUMMYFUNCTION("""COMPUTED_VALUE"""),18884)</f>
        <v>18884</v>
      </c>
      <c r="D204" s="8" t="str">
        <f ca="1">IFERROR(__xludf.DUMMYFUNCTION("""COMPUTED_VALUE"""),"2011-China")</f>
        <v>2011-China</v>
      </c>
      <c r="E204" s="8" t="str">
        <f ca="1">IFERROR(__xludf.DUMMYFUNCTION("""COMPUTED_VALUE"""),"157.10 x 23.00")</f>
        <v>157.10 x 23.00</v>
      </c>
      <c r="F204" s="8"/>
      <c r="G204" s="8">
        <f ca="1">IFERROR(__xludf.DUMMYFUNCTION("""COMPUTED_VALUE"""),24414)</f>
        <v>24414</v>
      </c>
      <c r="H204" s="8" t="str">
        <f ca="1">IFERROR(__xludf.DUMMYFUNCTION("""COMPUTED_VALUE"""),"N/Y Epoxy")</f>
        <v>N/Y Epoxy</v>
      </c>
      <c r="I204" s="8" t="str">
        <f ca="1">IFERROR(__xludf.DUMMYFUNCTION("""COMPUTED_VALUE"""),"2 x 1000")</f>
        <v>2 x 1000</v>
      </c>
      <c r="J204" s="8" t="str">
        <f ca="1">IFERROR(__xludf.DUMMYFUNCTION("""COMPUTED_VALUE"""),"MAN-B&amp;W")</f>
        <v>MAN-B&amp;W</v>
      </c>
      <c r="K204" s="8" t="str">
        <f ca="1">IFERROR(__xludf.DUMMYFUNCTION("""COMPUTED_VALUE"""),"-")</f>
        <v>-</v>
      </c>
      <c r="L204" s="8" t="str">
        <f ca="1">IFERROR(__xludf.DUMMYFUNCTION("""COMPUTED_VALUE"""),"To be chkd")</f>
        <v>To be chkd</v>
      </c>
      <c r="M204" s="8" t="str">
        <f ca="1">IFERROR(__xludf.DUMMYFUNCTION("""COMPUTED_VALUE"""),"CCS Ice B")</f>
        <v>CCS Ice B</v>
      </c>
      <c r="N204" s="8" t="str">
        <f ca="1">IFERROR(__xludf.DUMMYFUNCTION("""COMPUTED_VALUE"""),"China")</f>
        <v>China</v>
      </c>
      <c r="O204" s="8" t="str">
        <f ca="1">IFERROR(__xludf.DUMMYFUNCTION("""COMPUTED_VALUE"""),"B.offers")</f>
        <v>B.offers</v>
      </c>
    </row>
    <row r="205" spans="1:15" ht="15.75" customHeight="1" x14ac:dyDescent="0.25">
      <c r="A205" s="8" t="str">
        <f ca="1">IFERROR(__xludf.DUMMYFUNCTION("""COMPUTED_VALUE"""),"TA 18734/07")</f>
        <v>TA 18734/07</v>
      </c>
      <c r="B205" s="8" t="str">
        <f ca="1">IFERROR(__xludf.DUMMYFUNCTION("""COMPUTED_VALUE"""),"Products Ice 1A Tanker")</f>
        <v>Products Ice 1A Tanker</v>
      </c>
      <c r="C205" s="9">
        <f ca="1">IFERROR(__xludf.DUMMYFUNCTION("""COMPUTED_VALUE"""),18734)</f>
        <v>18734</v>
      </c>
      <c r="D205" s="8" t="str">
        <f ca="1">IFERROR(__xludf.DUMMYFUNCTION("""COMPUTED_VALUE"""),"2007-Turkey")</f>
        <v>2007-Turkey</v>
      </c>
      <c r="E205" s="8" t="str">
        <f ca="1">IFERROR(__xludf.DUMMYFUNCTION("""COMPUTED_VALUE"""),"143.00 x 23.00")</f>
        <v>143.00 x 23.00</v>
      </c>
      <c r="F205" s="8" t="str">
        <f ca="1">IFERROR(__xludf.DUMMYFUNCTION("""COMPUTED_VALUE"""),"12")</f>
        <v>12</v>
      </c>
      <c r="G205" s="8">
        <f ca="1">IFERROR(__xludf.DUMMYFUNCTION("""COMPUTED_VALUE"""),18994)</f>
        <v>18994</v>
      </c>
      <c r="H205" s="8" t="str">
        <f ca="1">IFERROR(__xludf.DUMMYFUNCTION("""COMPUTED_VALUE"""),"Y Heaters/Y Epoxy")</f>
        <v>Y Heaters/Y Epoxy</v>
      </c>
      <c r="I205" s="8" t="str">
        <f ca="1">IFERROR(__xludf.DUMMYFUNCTION("""COMPUTED_VALUE"""),"12x350+2x600")</f>
        <v>12x350+2x600</v>
      </c>
      <c r="J205" s="8" t="str">
        <f ca="1">IFERROR(__xludf.DUMMYFUNCTION("""COMPUTED_VALUE"""),"2 Wartsila")</f>
        <v>2 Wartsila</v>
      </c>
      <c r="K205" s="8" t="str">
        <f ca="1">IFERROR(__xludf.DUMMYFUNCTION("""COMPUTED_VALUE"""),"-")</f>
        <v>-</v>
      </c>
      <c r="L205" s="8" t="str">
        <f ca="1">IFERROR(__xludf.DUMMYFUNCTION("""COMPUTED_VALUE"""),"To be chkd")</f>
        <v>To be chkd</v>
      </c>
      <c r="M205" s="8" t="str">
        <f ca="1">IFERROR(__xludf.DUMMYFUNCTION("""COMPUTED_VALUE"""),"BV 10/26D")</f>
        <v>BV 10/26D</v>
      </c>
      <c r="N205" s="8" t="str">
        <f ca="1">IFERROR(__xludf.DUMMYFUNCTION("""COMPUTED_VALUE"""),"USA")</f>
        <v>USA</v>
      </c>
      <c r="O205" s="8" t="str">
        <f ca="1">IFERROR(__xludf.DUMMYFUNCTION("""COMPUTED_VALUE"""),"B.offers")</f>
        <v>B.offers</v>
      </c>
    </row>
    <row r="206" spans="1:15" ht="15.75" customHeight="1" x14ac:dyDescent="0.25">
      <c r="A206" s="8" t="str">
        <f ca="1">IFERROR(__xludf.DUMMYFUNCTION("""COMPUTED_VALUE"""),"TA 17579/09")</f>
        <v>TA 17579/09</v>
      </c>
      <c r="B206" s="8" t="str">
        <f ca="1">IFERROR(__xludf.DUMMYFUNCTION("""COMPUTED_VALUE"""),"Chemical IMO 2 Tanker")</f>
        <v>Chemical IMO 2 Tanker</v>
      </c>
      <c r="C206" s="9">
        <f ca="1">IFERROR(__xludf.DUMMYFUNCTION("""COMPUTED_VALUE"""),17579)</f>
        <v>17579</v>
      </c>
      <c r="D206" s="8" t="str">
        <f ca="1">IFERROR(__xludf.DUMMYFUNCTION("""COMPUTED_VALUE"""),"2009-Korea")</f>
        <v>2009-Korea</v>
      </c>
      <c r="E206" s="8" t="str">
        <f ca="1">IFERROR(__xludf.DUMMYFUNCTION("""COMPUTED_VALUE"""),"144.0 x 22.60")</f>
        <v>144.0 x 22.60</v>
      </c>
      <c r="F206" s="8" t="str">
        <f ca="1">IFERROR(__xludf.DUMMYFUNCTION("""COMPUTED_VALUE"""),"14")</f>
        <v>14</v>
      </c>
      <c r="G206" s="8">
        <f ca="1">IFERROR(__xludf.DUMMYFUNCTION("""COMPUTED_VALUE"""),19003)</f>
        <v>19003</v>
      </c>
      <c r="H206" s="8" t="str">
        <f ca="1">IFERROR(__xludf.DUMMYFUNCTION("""COMPUTED_VALUE"""),"N/Y Epoxy Phenolic")</f>
        <v>N/Y Epoxy Phenolic</v>
      </c>
      <c r="I206" s="8" t="str">
        <f ca="1">IFERROR(__xludf.DUMMYFUNCTION("""COMPUTED_VALUE"""),"16 x 300 submerged")</f>
        <v>16 x 300 submerged</v>
      </c>
      <c r="J206" s="8" t="str">
        <f ca="1">IFERROR(__xludf.DUMMYFUNCTION("""COMPUTED_VALUE"""),"MAN-B&amp;W")</f>
        <v>MAN-B&amp;W</v>
      </c>
      <c r="K206" s="8" t="str">
        <f ca="1">IFERROR(__xludf.DUMMYFUNCTION("""COMPUTED_VALUE"""),"12k/18 t")</f>
        <v>12k/18 t</v>
      </c>
      <c r="L206" s="8" t="str">
        <f ca="1">IFERROR(__xludf.DUMMYFUNCTION("""COMPUTED_VALUE"""),"Fitted")</f>
        <v>Fitted</v>
      </c>
      <c r="M206" s="8" t="str">
        <f ca="1">IFERROR(__xludf.DUMMYFUNCTION("""COMPUTED_VALUE"""),"KR 4/29D")</f>
        <v>KR 4/29D</v>
      </c>
      <c r="N206" s="8" t="str">
        <f ca="1">IFERROR(__xludf.DUMMYFUNCTION("""COMPUTED_VALUE"""),"India")</f>
        <v>India</v>
      </c>
      <c r="O206" s="8" t="str">
        <f ca="1">IFERROR(__xludf.DUMMYFUNCTION("""COMPUTED_VALUE"""),"15.5-14.8m")</f>
        <v>15.5-14.8m</v>
      </c>
    </row>
    <row r="207" spans="1:15" ht="15.75" customHeight="1" x14ac:dyDescent="0.25">
      <c r="A207" s="8" t="str">
        <f ca="1">IFERROR(__xludf.DUMMYFUNCTION("""COMPUTED_VALUE"""),"TA 17568/08")</f>
        <v>TA 17568/08</v>
      </c>
      <c r="B207" s="8" t="str">
        <f ca="1">IFERROR(__xludf.DUMMYFUNCTION("""COMPUTED_VALUE"""),"Chemical IMO 2 Tanker")</f>
        <v>Chemical IMO 2 Tanker</v>
      </c>
      <c r="C207" s="9">
        <f ca="1">IFERROR(__xludf.DUMMYFUNCTION("""COMPUTED_VALUE"""),17568)</f>
        <v>17568</v>
      </c>
      <c r="D207" s="8" t="str">
        <f ca="1">IFERROR(__xludf.DUMMYFUNCTION("""COMPUTED_VALUE"""),"2008-Korea")</f>
        <v>2008-Korea</v>
      </c>
      <c r="E207" s="8" t="str">
        <f ca="1">IFERROR(__xludf.DUMMYFUNCTION("""COMPUTED_VALUE"""),"144.0 x 22.60")</f>
        <v>144.0 x 22.60</v>
      </c>
      <c r="F207" s="8" t="str">
        <f ca="1">IFERROR(__xludf.DUMMYFUNCTION("""COMPUTED_VALUE"""),"16")</f>
        <v>16</v>
      </c>
      <c r="G207" s="8">
        <f ca="1">IFERROR(__xludf.DUMMYFUNCTION("""COMPUTED_VALUE"""),19020)</f>
        <v>19020</v>
      </c>
      <c r="H207" s="8" t="str">
        <f ca="1">IFERROR(__xludf.DUMMYFUNCTION("""COMPUTED_VALUE"""),"Y/Epoxy Phen.")</f>
        <v>Y/Epoxy Phen.</v>
      </c>
      <c r="I207" s="8" t="str">
        <f ca="1">IFERROR(__xludf.DUMMYFUNCTION("""COMPUTED_VALUE"""),"6x200+8x300")</f>
        <v>6x200+8x300</v>
      </c>
      <c r="J207" s="8" t="str">
        <f ca="1">IFERROR(__xludf.DUMMYFUNCTION("""COMPUTED_VALUE"""),"MAN-B&amp;W")</f>
        <v>MAN-B&amp;W</v>
      </c>
      <c r="K207" s="8" t="str">
        <f ca="1">IFERROR(__xludf.DUMMYFUNCTION("""COMPUTED_VALUE"""),"14.2k/23t")</f>
        <v>14.2k/23t</v>
      </c>
      <c r="L207" s="8" t="str">
        <f ca="1">IFERROR(__xludf.DUMMYFUNCTION("""COMPUTED_VALUE"""),"Fitted")</f>
        <v>Fitted</v>
      </c>
      <c r="M207" s="8" t="str">
        <f ca="1">IFERROR(__xludf.DUMMYFUNCTION("""COMPUTED_VALUE"""),"BV 10/28D")</f>
        <v>BV 10/28D</v>
      </c>
      <c r="N207" s="8" t="str">
        <f ca="1">IFERROR(__xludf.DUMMYFUNCTION("""COMPUTED_VALUE"""),"W.Africa")</f>
        <v>W.Africa</v>
      </c>
      <c r="O207" s="8" t="str">
        <f ca="1">IFERROR(__xludf.DUMMYFUNCTION("""COMPUTED_VALUE"""),"13.8-13.6m")</f>
        <v>13.8-13.6m</v>
      </c>
    </row>
    <row r="208" spans="1:15" ht="15.75" customHeight="1" x14ac:dyDescent="0.25">
      <c r="A208" s="8" t="str">
        <f ca="1">IFERROR(__xludf.DUMMYFUNCTION("""COMPUTED_VALUE"""),"TA 17427/20")</f>
        <v>TA 17427/20</v>
      </c>
      <c r="B208" s="8" t="str">
        <f ca="1">IFERROR(__xludf.DUMMYFUNCTION("""COMPUTED_VALUE"""),"Chemical/Oil Prods IMO 2")</f>
        <v>Chemical/Oil Prods IMO 2</v>
      </c>
      <c r="C208" s="9">
        <f ca="1">IFERROR(__xludf.DUMMYFUNCTION("""COMPUTED_VALUE"""),17427)</f>
        <v>17427</v>
      </c>
      <c r="D208" s="8" t="str">
        <f ca="1">IFERROR(__xludf.DUMMYFUNCTION("""COMPUTED_VALUE"""),"2020-China")</f>
        <v>2020-China</v>
      </c>
      <c r="E208" s="8" t="str">
        <f ca="1">IFERROR(__xludf.DUMMYFUNCTION("""COMPUTED_VALUE"""),"144.20 X 23.00")</f>
        <v>144.20 X 23.00</v>
      </c>
      <c r="F208" s="8" t="str">
        <f ca="1">IFERROR(__xludf.DUMMYFUNCTION("""COMPUTED_VALUE"""),"14")</f>
        <v>14</v>
      </c>
      <c r="G208" s="8">
        <f ca="1">IFERROR(__xludf.DUMMYFUNCTION("""COMPUTED_VALUE"""),18800)</f>
        <v>18800</v>
      </c>
      <c r="H208" s="8" t="str">
        <f ca="1">IFERROR(__xludf.DUMMYFUNCTION("""COMPUTED_VALUE"""),"Y/Y Siloxirane ML")</f>
        <v>Y/Y Siloxirane ML</v>
      </c>
      <c r="I208" s="8" t="str">
        <f ca="1">IFERROR(__xludf.DUMMYFUNCTION("""COMPUTED_VALUE"""),"12 x 300")</f>
        <v>12 x 300</v>
      </c>
      <c r="J208" s="8" t="str">
        <f ca="1">IFERROR(__xludf.DUMMYFUNCTION("""COMPUTED_VALUE"""),"MAN-B&amp;W")</f>
        <v>MAN-B&amp;W</v>
      </c>
      <c r="K208" s="8" t="str">
        <f ca="1">IFERROR(__xludf.DUMMYFUNCTION("""COMPUTED_VALUE"""),"-")</f>
        <v>-</v>
      </c>
      <c r="L208" s="8" t="str">
        <f ca="1">IFERROR(__xludf.DUMMYFUNCTION("""COMPUTED_VALUE"""),"Fitted")</f>
        <v>Fitted</v>
      </c>
      <c r="M208" s="8" t="str">
        <f ca="1">IFERROR(__xludf.DUMMYFUNCTION("""COMPUTED_VALUE"""),"BV 4.25P")</f>
        <v>BV 4.25P</v>
      </c>
      <c r="N208" s="8" t="str">
        <f ca="1">IFERROR(__xludf.DUMMYFUNCTION("""COMPUTED_VALUE"""),"WC. India")</f>
        <v>WC. India</v>
      </c>
      <c r="O208" s="8" t="str">
        <f ca="1">IFERROR(__xludf.DUMMYFUNCTION("""COMPUTED_VALUE"""),"20.0 m")</f>
        <v>20.0 m</v>
      </c>
    </row>
    <row r="209" spans="1:15" ht="15.75" customHeight="1" x14ac:dyDescent="0.25">
      <c r="A209" s="8" t="str">
        <f ca="1">IFERROR(__xludf.DUMMYFUNCTION("""COMPUTED_VALUE"""),"TA 17204/09")</f>
        <v>TA 17204/09</v>
      </c>
      <c r="B209" s="8" t="str">
        <f ca="1">IFERROR(__xludf.DUMMYFUNCTION("""COMPUTED_VALUE"""),"Product Tanker")</f>
        <v>Product Tanker</v>
      </c>
      <c r="C209" s="9">
        <f ca="1">IFERROR(__xludf.DUMMYFUNCTION("""COMPUTED_VALUE"""),17204)</f>
        <v>17204</v>
      </c>
      <c r="D209" s="8" t="str">
        <f ca="1">IFERROR(__xludf.DUMMYFUNCTION("""COMPUTED_VALUE"""),"2009-China")</f>
        <v>2009-China</v>
      </c>
      <c r="E209" s="8" t="str">
        <f ca="1">IFERROR(__xludf.DUMMYFUNCTION("""COMPUTED_VALUE"""),"150.0 x 23.00")</f>
        <v>150.0 x 23.00</v>
      </c>
      <c r="F209" s="8" t="str">
        <f ca="1">IFERROR(__xludf.DUMMYFUNCTION("""COMPUTED_VALUE"""),"-")</f>
        <v>-</v>
      </c>
      <c r="G209" s="8">
        <f ca="1">IFERROR(__xludf.DUMMYFUNCTION("""COMPUTED_VALUE"""),19049)</f>
        <v>19049</v>
      </c>
      <c r="H209" s="8" t="str">
        <f ca="1">IFERROR(__xludf.DUMMYFUNCTION("""COMPUTED_VALUE"""),"Y/N")</f>
        <v>Y/N</v>
      </c>
      <c r="I209" s="8" t="str">
        <f ca="1">IFERROR(__xludf.DUMMYFUNCTION("""COMPUTED_VALUE"""),"3 x 750")</f>
        <v>3 x 750</v>
      </c>
      <c r="J209" s="8" t="str">
        <f ca="1">IFERROR(__xludf.DUMMYFUNCTION("""COMPUTED_VALUE"""),"Pielstick")</f>
        <v>Pielstick</v>
      </c>
      <c r="K209" s="8" t="str">
        <f ca="1">IFERROR(__xludf.DUMMYFUNCTION("""COMPUTED_VALUE"""),"10 kn")</f>
        <v>10 kn</v>
      </c>
      <c r="L209" s="8" t="str">
        <f ca="1">IFERROR(__xludf.DUMMYFUNCTION("""COMPUTED_VALUE"""),"To be chkd")</f>
        <v>To be chkd</v>
      </c>
      <c r="M209" s="8" t="str">
        <f ca="1">IFERROR(__xludf.DUMMYFUNCTION("""COMPUTED_VALUE"""),"BV 4/29D")</f>
        <v>BV 4/29D</v>
      </c>
      <c r="N209" s="10" t="str">
        <f ca="1">IFERROR(__xludf.DUMMYFUNCTION("""COMPUTED_VALUE"""),"SE.Asia")</f>
        <v>SE.Asia</v>
      </c>
      <c r="O209" s="8" t="str">
        <f ca="1">IFERROR(__xludf.DUMMYFUNCTION("""COMPUTED_VALUE"""),"10.8 m")</f>
        <v>10.8 m</v>
      </c>
    </row>
    <row r="210" spans="1:15" ht="15.75" customHeight="1" x14ac:dyDescent="0.25">
      <c r="A210" s="8" t="str">
        <f ca="1">IFERROR(__xludf.DUMMYFUNCTION("""COMPUTED_VALUE"""),"TA 17183/11")</f>
        <v>TA 17183/11</v>
      </c>
      <c r="B210" s="8" t="str">
        <f ca="1">IFERROR(__xludf.DUMMYFUNCTION("""COMPUTED_VALUE"""),"Oil/Products Tanker Ice 1B")</f>
        <v>Oil/Products Tanker Ice 1B</v>
      </c>
      <c r="C210" s="9">
        <f ca="1">IFERROR(__xludf.DUMMYFUNCTION("""COMPUTED_VALUE"""),17183)</f>
        <v>17183</v>
      </c>
      <c r="D210" s="8" t="str">
        <f ca="1">IFERROR(__xludf.DUMMYFUNCTION("""COMPUTED_VALUE"""),"2011-China")</f>
        <v>2011-China</v>
      </c>
      <c r="E210" s="8" t="str">
        <f ca="1">IFERROR(__xludf.DUMMYFUNCTION("""COMPUTED_VALUE"""),"150.5 x 21.60")</f>
        <v>150.5 x 21.60</v>
      </c>
      <c r="F210" s="8" t="str">
        <f ca="1">IFERROR(__xludf.DUMMYFUNCTION("""COMPUTED_VALUE"""),"12")</f>
        <v>12</v>
      </c>
      <c r="G210" s="8">
        <f ca="1">IFERROR(__xludf.DUMMYFUNCTION("""COMPUTED_VALUE"""),18575)</f>
        <v>18575</v>
      </c>
      <c r="H210" s="8" t="str">
        <f ca="1">IFERROR(__xludf.DUMMYFUNCTION("""COMPUTED_VALUE"""),"N/Y Epoxy")</f>
        <v>N/Y Epoxy</v>
      </c>
      <c r="I210" s="8" t="str">
        <f ca="1">IFERROR(__xludf.DUMMYFUNCTION("""COMPUTED_VALUE"""),"3 x 750")</f>
        <v>3 x 750</v>
      </c>
      <c r="J210" s="8" t="str">
        <f ca="1">IFERROR(__xludf.DUMMYFUNCTION("""COMPUTED_VALUE"""),"MAN-B&amp;W")</f>
        <v>MAN-B&amp;W</v>
      </c>
      <c r="K210" s="8" t="str">
        <f ca="1">IFERROR(__xludf.DUMMYFUNCTION("""COMPUTED_VALUE"""),"13k/17t")</f>
        <v>13k/17t</v>
      </c>
      <c r="L210" s="8" t="str">
        <f ca="1">IFERROR(__xludf.DUMMYFUNCTION("""COMPUTED_VALUE"""),"To be chkd")</f>
        <v>To be chkd</v>
      </c>
      <c r="M210" s="8" t="str">
        <f ca="1">IFERROR(__xludf.DUMMYFUNCTION("""COMPUTED_VALUE"""),"CCS 6/26 D")</f>
        <v>CCS 6/26 D</v>
      </c>
      <c r="N210" s="8" t="str">
        <f ca="1">IFERROR(__xludf.DUMMYFUNCTION("""COMPUTED_VALUE"""),"China only")</f>
        <v>China only</v>
      </c>
      <c r="O210" s="8" t="str">
        <f ca="1">IFERROR(__xludf.DUMMYFUNCTION("""COMPUTED_VALUE"""),"15/14.2 m")</f>
        <v>15/14.2 m</v>
      </c>
    </row>
    <row r="211" spans="1:15" ht="15.75" customHeight="1" x14ac:dyDescent="0.25">
      <c r="A211" s="8" t="str">
        <f ca="1">IFERROR(__xludf.DUMMYFUNCTION("""COMPUTED_VALUE"""),"TA 17055/09A")</f>
        <v>TA 17055/09A</v>
      </c>
      <c r="B211" s="8" t="str">
        <f ca="1">IFERROR(__xludf.DUMMYFUNCTION("""COMPUTED_VALUE"""),"Chemical Tanker Ice 1C")</f>
        <v>Chemical Tanker Ice 1C</v>
      </c>
      <c r="C211" s="9">
        <f ca="1">IFERROR(__xludf.DUMMYFUNCTION("""COMPUTED_VALUE"""),17055)</f>
        <v>17055</v>
      </c>
      <c r="D211" s="8" t="str">
        <f ca="1">IFERROR(__xludf.DUMMYFUNCTION("""COMPUTED_VALUE"""),"2009-China")</f>
        <v>2009-China</v>
      </c>
      <c r="E211" s="8" t="str">
        <f ca="1">IFERROR(__xludf.DUMMYFUNCTION("""COMPUTED_VALUE"""),"144.2 x 23.00")</f>
        <v>144.2 x 23.00</v>
      </c>
      <c r="F211" s="8" t="str">
        <f ca="1">IFERROR(__xludf.DUMMYFUNCTION("""COMPUTED_VALUE"""),"14")</f>
        <v>14</v>
      </c>
      <c r="G211" s="8">
        <f ca="1">IFERROR(__xludf.DUMMYFUNCTION("""COMPUTED_VALUE"""),18321)</f>
        <v>18321</v>
      </c>
      <c r="H211" s="8" t="str">
        <f ca="1">IFERROR(__xludf.DUMMYFUNCTION("""COMPUTED_VALUE"""),"N/Y Marineline")</f>
        <v>N/Y Marineline</v>
      </c>
      <c r="I211" s="8" t="str">
        <f ca="1">IFERROR(__xludf.DUMMYFUNCTION("""COMPUTED_VALUE"""),"12 x 335 ")</f>
        <v xml:space="preserve">12 x 335 </v>
      </c>
      <c r="J211" s="8" t="str">
        <f ca="1">IFERROR(__xludf.DUMMYFUNCTION("""COMPUTED_VALUE"""),"MAN-B&amp;W")</f>
        <v>MAN-B&amp;W</v>
      </c>
      <c r="K211" s="8" t="str">
        <f ca="1">IFERROR(__xludf.DUMMYFUNCTION("""COMPUTED_VALUE"""),"13.5k/17t IFO")</f>
        <v>13.5k/17t IFO</v>
      </c>
      <c r="L211" s="8" t="str">
        <f ca="1">IFERROR(__xludf.DUMMYFUNCTION("""COMPUTED_VALUE"""),"To be chkd")</f>
        <v>To be chkd</v>
      </c>
      <c r="M211" s="8" t="str">
        <f ca="1">IFERROR(__xludf.DUMMYFUNCTION("""COMPUTED_VALUE"""),"CCS 3/26D")</f>
        <v>CCS 3/26D</v>
      </c>
      <c r="N211" s="8" t="str">
        <f ca="1">IFERROR(__xludf.DUMMYFUNCTION("""COMPUTED_VALUE"""),"N.Europe")</f>
        <v>N.Europe</v>
      </c>
      <c r="O211" s="8" t="str">
        <f ca="1">IFERROR(__xludf.DUMMYFUNCTION("""COMPUTED_VALUE"""),"16-15.8 m")</f>
        <v>16-15.8 m</v>
      </c>
    </row>
    <row r="212" spans="1:15" ht="15.75" customHeight="1" x14ac:dyDescent="0.25">
      <c r="A212" s="8" t="str">
        <f ca="1">IFERROR(__xludf.DUMMYFUNCTION("""COMPUTED_VALUE"""),"TA 17055/09B")</f>
        <v>TA 17055/09B</v>
      </c>
      <c r="B212" s="8" t="str">
        <f ca="1">IFERROR(__xludf.DUMMYFUNCTION("""COMPUTED_VALUE"""),"Chem/Prod IMO 2/3 Tanker")</f>
        <v>Chem/Prod IMO 2/3 Tanker</v>
      </c>
      <c r="C212" s="9">
        <f ca="1">IFERROR(__xludf.DUMMYFUNCTION("""COMPUTED_VALUE"""),17055)</f>
        <v>17055</v>
      </c>
      <c r="D212" s="8" t="str">
        <f ca="1">IFERROR(__xludf.DUMMYFUNCTION("""COMPUTED_VALUE"""),"2009-China")</f>
        <v>2009-China</v>
      </c>
      <c r="E212" s="8" t="str">
        <f ca="1">IFERROR(__xludf.DUMMYFUNCTION("""COMPUTED_VALUE"""),"144.80 x 23.00")</f>
        <v>144.80 x 23.00</v>
      </c>
      <c r="F212" s="8" t="str">
        <f ca="1">IFERROR(__xludf.DUMMYFUNCTION("""COMPUTED_VALUE"""),"14")</f>
        <v>14</v>
      </c>
      <c r="G212" s="8">
        <f ca="1">IFERROR(__xludf.DUMMYFUNCTION("""COMPUTED_VALUE"""),18368)</f>
        <v>18368</v>
      </c>
      <c r="H212" s="8" t="str">
        <f ca="1">IFERROR(__xludf.DUMMYFUNCTION("""COMPUTED_VALUE"""),"Y Heatexch/Y Marin")</f>
        <v>Y Heatexch/Y Marin</v>
      </c>
      <c r="I212" s="8" t="str">
        <f ca="1">IFERROR(__xludf.DUMMYFUNCTION("""COMPUTED_VALUE"""),"12 x 335")</f>
        <v>12 x 335</v>
      </c>
      <c r="J212" s="8" t="str">
        <f ca="1">IFERROR(__xludf.DUMMYFUNCTION("""COMPUTED_VALUE"""),"MAN-B&amp;W")</f>
        <v>MAN-B&amp;W</v>
      </c>
      <c r="K212" s="8"/>
      <c r="L212" s="8" t="str">
        <f ca="1">IFERROR(__xludf.DUMMYFUNCTION("""COMPUTED_VALUE"""),"Fitted")</f>
        <v>Fitted</v>
      </c>
      <c r="M212" s="8" t="str">
        <f ca="1">IFERROR(__xludf.DUMMYFUNCTION("""COMPUTED_VALUE"""),"KR 1/29D")</f>
        <v>KR 1/29D</v>
      </c>
      <c r="N212" s="8" t="str">
        <f ca="1">IFERROR(__xludf.DUMMYFUNCTION("""COMPUTED_VALUE"""),"ARA/UKC")</f>
        <v>ARA/UKC</v>
      </c>
      <c r="O212" s="8" t="str">
        <f ca="1">IFERROR(__xludf.DUMMYFUNCTION("""COMPUTED_VALUE"""),"B.offers")</f>
        <v>B.offers</v>
      </c>
    </row>
    <row r="213" spans="1:15" ht="15.75" customHeight="1" x14ac:dyDescent="0.25">
      <c r="A213" s="8" t="str">
        <f ca="1">IFERROR(__xludf.DUMMYFUNCTION("""COMPUTED_VALUE"""),"TA 16971/08")</f>
        <v>TA 16971/08</v>
      </c>
      <c r="B213" s="8" t="str">
        <f ca="1">IFERROR(__xludf.DUMMYFUNCTION("""COMPUTED_VALUE"""),"Oil/Chemical IMO 2 Tanker")</f>
        <v>Oil/Chemical IMO 2 Tanker</v>
      </c>
      <c r="C213" s="9">
        <f ca="1">IFERROR(__xludf.DUMMYFUNCTION("""COMPUTED_VALUE"""),16971)</f>
        <v>16971</v>
      </c>
      <c r="D213" s="8" t="str">
        <f ca="1">IFERROR(__xludf.DUMMYFUNCTION("""COMPUTED_VALUE"""),"2008-Turkey")</f>
        <v>2008-Turkey</v>
      </c>
      <c r="E213" s="8" t="str">
        <f ca="1">IFERROR(__xludf.DUMMYFUNCTION("""COMPUTED_VALUE"""),"144.05 x 23.00")</f>
        <v>144.05 x 23.00</v>
      </c>
      <c r="F213" s="8" t="str">
        <f ca="1">IFERROR(__xludf.DUMMYFUNCTION("""COMPUTED_VALUE"""),"14")</f>
        <v>14</v>
      </c>
      <c r="G213" s="8">
        <f ca="1">IFERROR(__xludf.DUMMYFUNCTION("""COMPUTED_VALUE"""),19847)</f>
        <v>19847</v>
      </c>
      <c r="H213" s="8" t="str">
        <f ca="1">IFERROR(__xludf.DUMMYFUNCTION("""COMPUTED_VALUE"""),"Y Heat ex./Y Epoxy")</f>
        <v>Y Heat ex./Y Epoxy</v>
      </c>
      <c r="I213" s="8" t="str">
        <f ca="1">IFERROR(__xludf.DUMMYFUNCTION("""COMPUTED_VALUE"""),"12x385+2x200+1x40")</f>
        <v>12x385+2x200+1x40</v>
      </c>
      <c r="J213" s="8" t="str">
        <f ca="1">IFERROR(__xludf.DUMMYFUNCTION("""COMPUTED_VALUE"""),"MAN-B&amp;W")</f>
        <v>MAN-B&amp;W</v>
      </c>
      <c r="K213" s="8" t="str">
        <f ca="1">IFERROR(__xludf.DUMMYFUNCTION("""COMPUTED_VALUE"""),"13/14 k")</f>
        <v>13/14 k</v>
      </c>
      <c r="L213" s="8" t="str">
        <f ca="1">IFERROR(__xludf.DUMMYFUNCTION("""COMPUTED_VALUE"""),"Fitted")</f>
        <v>Fitted</v>
      </c>
      <c r="M213" s="8" t="str">
        <f ca="1">IFERROR(__xludf.DUMMYFUNCTION("""COMPUTED_VALUE"""),"AB 2023P")</f>
        <v>AB 2023P</v>
      </c>
      <c r="N213" s="8" t="str">
        <f ca="1">IFERROR(__xludf.DUMMYFUNCTION("""COMPUTED_VALUE"""),"Maersk Pool")</f>
        <v>Maersk Pool</v>
      </c>
      <c r="O213" s="8" t="str">
        <f ca="1">IFERROR(__xludf.DUMMYFUNCTION("""COMPUTED_VALUE"""),"B.offers")</f>
        <v>B.offers</v>
      </c>
    </row>
    <row r="214" spans="1:15" ht="15.75" customHeight="1" x14ac:dyDescent="0.25">
      <c r="A214" s="8" t="str">
        <f ca="1">IFERROR(__xludf.DUMMYFUNCTION("""COMPUTED_VALUE"""),"TA 16908/10")</f>
        <v>TA 16908/10</v>
      </c>
      <c r="B214" s="8" t="str">
        <f ca="1">IFERROR(__xludf.DUMMYFUNCTION("""COMPUTED_VALUE"""),"Chemical Ice 2 Tanker")</f>
        <v>Chemical Ice 2 Tanker</v>
      </c>
      <c r="C214" s="9">
        <f ca="1">IFERROR(__xludf.DUMMYFUNCTION("""COMPUTED_VALUE"""),16908)</f>
        <v>16908</v>
      </c>
      <c r="D214" s="8" t="str">
        <f ca="1">IFERROR(__xludf.DUMMYFUNCTION("""COMPUTED_VALUE"""),"2010-China")</f>
        <v>2010-China</v>
      </c>
      <c r="E214" s="8" t="str">
        <f ca="1">IFERROR(__xludf.DUMMYFUNCTION("""COMPUTED_VALUE"""),"145.5 x 23.00")</f>
        <v>145.5 x 23.00</v>
      </c>
      <c r="F214" s="8" t="str">
        <f ca="1">IFERROR(__xludf.DUMMYFUNCTION("""COMPUTED_VALUE"""),"13")</f>
        <v>13</v>
      </c>
      <c r="G214" s="8">
        <f ca="1">IFERROR(__xludf.DUMMYFUNCTION("""COMPUTED_VALUE"""),19163)</f>
        <v>19163</v>
      </c>
      <c r="H214" s="8" t="str">
        <f ca="1">IFERROR(__xludf.DUMMYFUNCTION("""COMPUTED_VALUE"""),"Y/Y Epoxy")</f>
        <v>Y/Y Epoxy</v>
      </c>
      <c r="I214" s="8" t="str">
        <f ca="1">IFERROR(__xludf.DUMMYFUNCTION("""COMPUTED_VALUE"""),"12 x 300")</f>
        <v>12 x 300</v>
      </c>
      <c r="J214" s="8" t="str">
        <f ca="1">IFERROR(__xludf.DUMMYFUNCTION("""COMPUTED_VALUE"""),"MAN-B&amp;W")</f>
        <v>MAN-B&amp;W</v>
      </c>
      <c r="K214" s="8" t="str">
        <f ca="1">IFERROR(__xludf.DUMMYFUNCTION("""COMPUTED_VALUE"""),"-")</f>
        <v>-</v>
      </c>
      <c r="L214" s="8" t="str">
        <f ca="1">IFERROR(__xludf.DUMMYFUNCTION("""COMPUTED_VALUE"""),"Fitted")</f>
        <v>Fitted</v>
      </c>
      <c r="M214" s="8" t="str">
        <f ca="1">IFERROR(__xludf.DUMMYFUNCTION("""COMPUTED_VALUE"""),"CCS 7.25D")</f>
        <v>CCS 7.25D</v>
      </c>
      <c r="N214" s="8" t="str">
        <f ca="1">IFERROR(__xludf.DUMMYFUNCTION("""COMPUTED_VALUE"""),"Fareast")</f>
        <v>Fareast</v>
      </c>
      <c r="O214" s="8" t="str">
        <f ca="1">IFERROR(__xludf.DUMMYFUNCTION("""COMPUTED_VALUE"""),"B.offers")</f>
        <v>B.offers</v>
      </c>
    </row>
    <row r="215" spans="1:15" ht="15.75" customHeight="1" x14ac:dyDescent="0.25">
      <c r="A215" s="8" t="str">
        <f ca="1">IFERROR(__xludf.DUMMYFUNCTION("""COMPUTED_VALUE"""),"TA 16748/06")</f>
        <v>TA 16748/06</v>
      </c>
      <c r="B215" s="8" t="str">
        <f ca="1">IFERROR(__xludf.DUMMYFUNCTION("""COMPUTED_VALUE"""),"Oil/Chemical Ice1A Tanker")</f>
        <v>Oil/Chemical Ice1A Tanker</v>
      </c>
      <c r="C215" s="9">
        <f ca="1">IFERROR(__xludf.DUMMYFUNCTION("""COMPUTED_VALUE"""),16748)</f>
        <v>16748</v>
      </c>
      <c r="D215" s="8" t="str">
        <f ca="1">IFERROR(__xludf.DUMMYFUNCTION("""COMPUTED_VALUE"""),"2006-China")</f>
        <v>2006-China</v>
      </c>
      <c r="E215" s="8" t="str">
        <f ca="1">IFERROR(__xludf.DUMMYFUNCTION("""COMPUTED_VALUE"""),"144.17 x 23.00")</f>
        <v>144.17 x 23.00</v>
      </c>
      <c r="F215" s="8" t="str">
        <f ca="1">IFERROR(__xludf.DUMMYFUNCTION("""COMPUTED_VALUE"""),"14")</f>
        <v>14</v>
      </c>
      <c r="G215" s="8">
        <f ca="1">IFERROR(__xludf.DUMMYFUNCTION("""COMPUTED_VALUE"""),19166)</f>
        <v>19166</v>
      </c>
      <c r="H215" s="8" t="str">
        <f ca="1">IFERROR(__xludf.DUMMYFUNCTION("""COMPUTED_VALUE"""),"N/Y Epoxy")</f>
        <v>N/Y Epoxy</v>
      </c>
      <c r="I215" s="8" t="str">
        <f ca="1">IFERROR(__xludf.DUMMYFUNCTION("""COMPUTED_VALUE"""),"12 x 300")</f>
        <v>12 x 300</v>
      </c>
      <c r="J215" s="8" t="str">
        <f ca="1">IFERROR(__xludf.DUMMYFUNCTION("""COMPUTED_VALUE"""),"MAN")</f>
        <v>MAN</v>
      </c>
      <c r="K215" s="8" t="str">
        <f ca="1">IFERROR(__xludf.DUMMYFUNCTION("""COMPUTED_VALUE"""),"14 k")</f>
        <v>14 k</v>
      </c>
      <c r="L215" s="8" t="str">
        <f ca="1">IFERROR(__xludf.DUMMYFUNCTION("""COMPUTED_VALUE"""),"To be chkd")</f>
        <v>To be chkd</v>
      </c>
      <c r="M215" s="8" t="str">
        <f ca="1">IFERROR(__xludf.DUMMYFUNCTION("""COMPUTED_VALUE"""),"LR Ice1A - 7.26")</f>
        <v>LR Ice1A - 7.26</v>
      </c>
      <c r="N215" s="8" t="str">
        <f ca="1">IFERROR(__xludf.DUMMYFUNCTION("""COMPUTED_VALUE"""),"W.Africa")</f>
        <v>W.Africa</v>
      </c>
      <c r="O215" s="8" t="str">
        <f ca="1">IFERROR(__xludf.DUMMYFUNCTION("""COMPUTED_VALUE"""),"B.offers")</f>
        <v>B.offers</v>
      </c>
    </row>
    <row r="216" spans="1:15" ht="15.75" customHeight="1" x14ac:dyDescent="0.25">
      <c r="A216" s="8" t="str">
        <f ca="1">IFERROR(__xludf.DUMMYFUNCTION("""COMPUTED_VALUE"""),"TA 16058/09")</f>
        <v>TA 16058/09</v>
      </c>
      <c r="B216" s="8" t="str">
        <f ca="1">IFERROR(__xludf.DUMMYFUNCTION("""COMPUTED_VALUE"""),"Chemical Tanker")</f>
        <v>Chemical Tanker</v>
      </c>
      <c r="C216" s="9">
        <f ca="1">IFERROR(__xludf.DUMMYFUNCTION("""COMPUTED_VALUE"""),16058)</f>
        <v>16058</v>
      </c>
      <c r="D216" s="8" t="str">
        <f ca="1">IFERROR(__xludf.DUMMYFUNCTION("""COMPUTED_VALUE"""),"2009-China")</f>
        <v>2009-China</v>
      </c>
      <c r="E216" s="8" t="str">
        <f ca="1">IFERROR(__xludf.DUMMYFUNCTION("""COMPUTED_VALUE"""),"145.20 x 23.00")</f>
        <v>145.20 x 23.00</v>
      </c>
      <c r="F216" s="8" t="str">
        <f ca="1">IFERROR(__xludf.DUMMYFUNCTION("""COMPUTED_VALUE"""),"14")</f>
        <v>14</v>
      </c>
      <c r="G216" s="8">
        <f ca="1">IFERROR(__xludf.DUMMYFUNCTION("""COMPUTED_VALUE"""),20216)</f>
        <v>20216</v>
      </c>
      <c r="H216" s="8" t="str">
        <f ca="1">IFERROR(__xludf.DUMMYFUNCTION("""COMPUTED_VALUE"""),"Y st.st./Y Epoxy")</f>
        <v>Y st.st./Y Epoxy</v>
      </c>
      <c r="I216" s="8">
        <f ca="1">IFERROR(__xludf.DUMMYFUNCTION("""COMPUTED_VALUE"""),14)</f>
        <v>14</v>
      </c>
      <c r="J216" s="8" t="str">
        <f ca="1">IFERROR(__xludf.DUMMYFUNCTION("""COMPUTED_VALUE"""),"MAN-B&amp;W")</f>
        <v>MAN-B&amp;W</v>
      </c>
      <c r="K216" s="8" t="str">
        <f ca="1">IFERROR(__xludf.DUMMYFUNCTION("""COMPUTED_VALUE"""),"12.5k/12.7t IFO")</f>
        <v>12.5k/12.7t IFO</v>
      </c>
      <c r="L216" s="8" t="str">
        <f ca="1">IFERROR(__xludf.DUMMYFUNCTION("""COMPUTED_VALUE"""),"To be chkd")</f>
        <v>To be chkd</v>
      </c>
      <c r="M216" s="8" t="str">
        <f ca="1">IFERROR(__xludf.DUMMYFUNCTION("""COMPUTED_VALUE"""),"LR 9/29D")</f>
        <v>LR 9/29D</v>
      </c>
      <c r="N216" s="8" t="str">
        <f ca="1">IFERROR(__xludf.DUMMYFUNCTION("""COMPUTED_VALUE"""),"Argentina-Brazil")</f>
        <v>Argentina-Brazil</v>
      </c>
      <c r="O216" s="8" t="str">
        <f ca="1">IFERROR(__xludf.DUMMYFUNCTION("""COMPUTED_VALUE"""),"11.0 m")</f>
        <v>11.0 m</v>
      </c>
    </row>
    <row r="217" spans="1:15" ht="15.75" customHeight="1" x14ac:dyDescent="0.25">
      <c r="A217" s="8" t="str">
        <f ca="1">IFERROR(__xludf.DUMMYFUNCTION("""COMPUTED_VALUE"""),"TA 16526/03")</f>
        <v>TA 16526/03</v>
      </c>
      <c r="B217" s="8" t="str">
        <f ca="1">IFERROR(__xludf.DUMMYFUNCTION("""COMPUTED_VALUE"""),"Stainless St.Chemical Tanker")</f>
        <v>Stainless St.Chemical Tanker</v>
      </c>
      <c r="C217" s="9">
        <f ca="1">IFERROR(__xludf.DUMMYFUNCTION("""COMPUTED_VALUE"""),16526)</f>
        <v>16526</v>
      </c>
      <c r="D217" s="8" t="str">
        <f ca="1">IFERROR(__xludf.DUMMYFUNCTION("""COMPUTED_VALUE"""),"2003-Japan")</f>
        <v>2003-Japan</v>
      </c>
      <c r="E217" s="8" t="str">
        <f ca="1">IFERROR(__xludf.DUMMYFUNCTION("""COMPUTED_VALUE"""),"135.53 x 22.50")</f>
        <v>135.53 x 22.50</v>
      </c>
      <c r="F217" s="8" t="str">
        <f ca="1">IFERROR(__xludf.DUMMYFUNCTION("""COMPUTED_VALUE"""),"16")</f>
        <v>16</v>
      </c>
      <c r="G217" s="8">
        <f ca="1">IFERROR(__xludf.DUMMYFUNCTION("""COMPUTED_VALUE"""),17702)</f>
        <v>17702</v>
      </c>
      <c r="H217" s="8" t="str">
        <f ca="1">IFERROR(__xludf.DUMMYFUNCTION("""COMPUTED_VALUE"""),"Y stst/Y stst")</f>
        <v>Y stst/Y stst</v>
      </c>
      <c r="I217" s="8" t="str">
        <f ca="1">IFERROR(__xludf.DUMMYFUNCTION("""COMPUTED_VALUE"""),"8x300+6x200 ")</f>
        <v xml:space="preserve">8x300+6x200 </v>
      </c>
      <c r="J217" s="8" t="str">
        <f ca="1">IFERROR(__xludf.DUMMYFUNCTION("""COMPUTED_VALUE"""),"MAN-B&amp;W")</f>
        <v>MAN-B&amp;W</v>
      </c>
      <c r="K217" s="8" t="str">
        <f ca="1">IFERROR(__xludf.DUMMYFUNCTION("""COMPUTED_VALUE"""),"14.4 k")</f>
        <v>14.4 k</v>
      </c>
      <c r="L217" s="8" t="str">
        <f ca="1">IFERROR(__xludf.DUMMYFUNCTION("""COMPUTED_VALUE"""),"To be chkd")</f>
        <v>To be chkd</v>
      </c>
      <c r="M217" s="8" t="str">
        <f ca="1">IFERROR(__xludf.DUMMYFUNCTION("""COMPUTED_VALUE"""),"BV 10/28D")</f>
        <v>BV 10/28D</v>
      </c>
      <c r="N217" s="8" t="str">
        <f ca="1">IFERROR(__xludf.DUMMYFUNCTION("""COMPUTED_VALUE"""),"PG")</f>
        <v>PG</v>
      </c>
      <c r="O217" s="8" t="str">
        <f ca="1">IFERROR(__xludf.DUMMYFUNCTION("""COMPUTED_VALUE"""),"11.0 M")</f>
        <v>11.0 M</v>
      </c>
    </row>
    <row r="218" spans="1:15" ht="15.75" customHeight="1" x14ac:dyDescent="0.25">
      <c r="A218" s="8" t="str">
        <f ca="1">IFERROR(__xludf.DUMMYFUNCTION("""COMPUTED_VALUE"""),"TA 15441/99")</f>
        <v>TA 15441/99</v>
      </c>
      <c r="B218" s="8" t="str">
        <f ca="1">IFERROR(__xludf.DUMMYFUNCTION("""COMPUTED_VALUE"""),"Chemical IMO 2 Tanker")</f>
        <v>Chemical IMO 2 Tanker</v>
      </c>
      <c r="C218" s="9">
        <f ca="1">IFERROR(__xludf.DUMMYFUNCTION("""COMPUTED_VALUE"""),15441)</f>
        <v>15441</v>
      </c>
      <c r="D218" s="8" t="str">
        <f ca="1">IFERROR(__xludf.DUMMYFUNCTION("""COMPUTED_VALUE"""),"1999-Germany")</f>
        <v>1999-Germany</v>
      </c>
      <c r="E218" s="8" t="str">
        <f ca="1">IFERROR(__xludf.DUMMYFUNCTION("""COMPUTED_VALUE"""),"145.8 x 22.50")</f>
        <v>145.8 x 22.50</v>
      </c>
      <c r="F218" s="8" t="str">
        <f ca="1">IFERROR(__xludf.DUMMYFUNCTION("""COMPUTED_VALUE"""),"23")</f>
        <v>23</v>
      </c>
      <c r="G218" s="8">
        <f ca="1">IFERROR(__xludf.DUMMYFUNCTION("""COMPUTED_VALUE"""),16942)</f>
        <v>16942</v>
      </c>
      <c r="H218" s="8" t="str">
        <f ca="1">IFERROR(__xludf.DUMMYFUNCTION("""COMPUTED_VALUE"""),"Y/Y Marineline")</f>
        <v>Y/Y Marineline</v>
      </c>
      <c r="I218" s="8" t="str">
        <f ca="1">IFERROR(__xludf.DUMMYFUNCTION("""COMPUTED_VALUE"""),"1x684+2x472")</f>
        <v>1x684+2x472</v>
      </c>
      <c r="J218" s="8" t="str">
        <f ca="1">IFERROR(__xludf.DUMMYFUNCTION("""COMPUTED_VALUE"""),"B&amp;W")</f>
        <v>B&amp;W</v>
      </c>
      <c r="K218" s="8" t="str">
        <f ca="1">IFERROR(__xludf.DUMMYFUNCTION("""COMPUTED_VALUE"""),"14.4k/22t")</f>
        <v>14.4k/22t</v>
      </c>
      <c r="L218" s="8" t="str">
        <f ca="1">IFERROR(__xludf.DUMMYFUNCTION("""COMPUTED_VALUE"""),"Fitted")</f>
        <v>Fitted</v>
      </c>
      <c r="M218" s="8" t="str">
        <f ca="1">IFERROR(__xludf.DUMMYFUNCTION("""COMPUTED_VALUE"""),"RI 9/27D")</f>
        <v>RI 9/27D</v>
      </c>
      <c r="N218" s="8" t="str">
        <f ca="1">IFERROR(__xludf.DUMMYFUNCTION("""COMPUTED_VALUE"""),"PG")</f>
        <v>PG</v>
      </c>
      <c r="O218" s="8" t="str">
        <f ca="1">IFERROR(__xludf.DUMMYFUNCTION("""COMPUTED_VALUE"""),"B.offers")</f>
        <v>B.offers</v>
      </c>
    </row>
    <row r="219" spans="1:15" ht="15.75" customHeight="1" x14ac:dyDescent="0.25">
      <c r="A219" s="8" t="str">
        <f ca="1">IFERROR(__xludf.DUMMYFUNCTION("""COMPUTED_VALUE"""),"TA 15340/03")</f>
        <v>TA 15340/03</v>
      </c>
      <c r="B219" s="8" t="str">
        <f ca="1">IFERROR(__xludf.DUMMYFUNCTION("""COMPUTED_VALUE"""),"Oil/Chemical Tanker")</f>
        <v>Oil/Chemical Tanker</v>
      </c>
      <c r="C219" s="9">
        <f ca="1">IFERROR(__xludf.DUMMYFUNCTION("""COMPUTED_VALUE"""),15340)</f>
        <v>15340</v>
      </c>
      <c r="D219" s="8" t="str">
        <f ca="1">IFERROR(__xludf.DUMMYFUNCTION("""COMPUTED_VALUE"""),"2003-Holland")</f>
        <v>2003-Holland</v>
      </c>
      <c r="E219" s="8" t="str">
        <f ca="1">IFERROR(__xludf.DUMMYFUNCTION("""COMPUTED_VALUE"""),"139.9 x 21.00")</f>
        <v>139.9 x 21.00</v>
      </c>
      <c r="F219" s="8" t="str">
        <f ca="1">IFERROR(__xludf.DUMMYFUNCTION("""COMPUTED_VALUE"""),"12")</f>
        <v>12</v>
      </c>
      <c r="G219" s="8">
        <f ca="1">IFERROR(__xludf.DUMMYFUNCTION("""COMPUTED_VALUE"""),15747)</f>
        <v>15747</v>
      </c>
      <c r="H219" s="8" t="str">
        <f ca="1">IFERROR(__xludf.DUMMYFUNCTION("""COMPUTED_VALUE"""),"Y stst/Y Epoxy")</f>
        <v>Y stst/Y Epoxy</v>
      </c>
      <c r="I219" s="8" t="str">
        <f ca="1">IFERROR(__xludf.DUMMYFUNCTION("""COMPUTED_VALUE"""),"12 x 335+1x80+70")</f>
        <v>12 x 335+1x80+70</v>
      </c>
      <c r="J219" s="8" t="str">
        <f ca="1">IFERROR(__xludf.DUMMYFUNCTION("""COMPUTED_VALUE"""),"-")</f>
        <v>-</v>
      </c>
      <c r="K219" s="8" t="str">
        <f ca="1">IFERROR(__xludf.DUMMYFUNCTION("""COMPUTED_VALUE"""),"10.5k/18t GO")</f>
        <v>10.5k/18t GO</v>
      </c>
      <c r="L219" s="8" t="str">
        <f ca="1">IFERROR(__xludf.DUMMYFUNCTION("""COMPUTED_VALUE"""),"Fitted")</f>
        <v>Fitted</v>
      </c>
      <c r="M219" s="8" t="str">
        <f ca="1">IFERROR(__xludf.DUMMYFUNCTION("""COMPUTED_VALUE"""),"BV 10/28D")</f>
        <v>BV 10/28D</v>
      </c>
      <c r="N219" s="8" t="str">
        <f ca="1">IFERROR(__xludf.DUMMYFUNCTION("""COMPUTED_VALUE"""),"Med/B.Sea")</f>
        <v>Med/B.Sea</v>
      </c>
      <c r="O219" s="8" t="str">
        <f ca="1">IFERROR(__xludf.DUMMYFUNCTION("""COMPUTED_VALUE"""),"B.offers")</f>
        <v>B.offers</v>
      </c>
    </row>
    <row r="220" spans="1:15" ht="15.75" customHeight="1" x14ac:dyDescent="0.25">
      <c r="A220" s="8" t="str">
        <f ca="1">IFERROR(__xludf.DUMMYFUNCTION("""COMPUTED_VALUE"""),"TA 14895/00")</f>
        <v>TA 14895/00</v>
      </c>
      <c r="B220" s="8" t="str">
        <f ca="1">IFERROR(__xludf.DUMMYFUNCTION("""COMPUTED_VALUE"""),"Chemical Ice 1D")</f>
        <v>Chemical Ice 1D</v>
      </c>
      <c r="C220" s="9">
        <f ca="1">IFERROR(__xludf.DUMMYFUNCTION("""COMPUTED_VALUE"""),14895)</f>
        <v>14895</v>
      </c>
      <c r="D220" s="8" t="str">
        <f ca="1">IFERROR(__xludf.DUMMYFUNCTION("""COMPUTED_VALUE"""),"2000-Spain")</f>
        <v>2000-Spain</v>
      </c>
      <c r="E220" s="8" t="str">
        <f ca="1">IFERROR(__xludf.DUMMYFUNCTION("""COMPUTED_VALUE"""),"137.7 x 22.00")</f>
        <v>137.7 x 22.00</v>
      </c>
      <c r="F220" s="8" t="str">
        <f ca="1">IFERROR(__xludf.DUMMYFUNCTION("""COMPUTED_VALUE"""),"12")</f>
        <v>12</v>
      </c>
      <c r="G220" s="8">
        <f ca="1">IFERROR(__xludf.DUMMYFUNCTION("""COMPUTED_VALUE"""),16162)</f>
        <v>16162</v>
      </c>
      <c r="H220" s="8" t="str">
        <f ca="1">IFERROR(__xludf.DUMMYFUNCTION("""COMPUTED_VALUE"""),"N/Epoxx")</f>
        <v>N/Epoxx</v>
      </c>
      <c r="I220" s="8" t="str">
        <f ca="1">IFERROR(__xludf.DUMMYFUNCTION("""COMPUTED_VALUE"""),"10 x 300")</f>
        <v>10 x 300</v>
      </c>
      <c r="J220" s="8" t="str">
        <f ca="1">IFERROR(__xludf.DUMMYFUNCTION("""COMPUTED_VALUE"""),"MAK")</f>
        <v>MAK</v>
      </c>
      <c r="K220" s="8" t="str">
        <f ca="1">IFERROR(__xludf.DUMMYFUNCTION("""COMPUTED_VALUE"""),"-")</f>
        <v>-</v>
      </c>
      <c r="L220" s="8" t="str">
        <f ca="1">IFERROR(__xludf.DUMMYFUNCTION("""COMPUTED_VALUE"""),"Fitted")</f>
        <v>Fitted</v>
      </c>
      <c r="M220" s="8" t="str">
        <f ca="1">IFERROR(__xludf.DUMMYFUNCTION("""COMPUTED_VALUE"""),"NV 6/25D")</f>
        <v>NV 6/25D</v>
      </c>
      <c r="N220" s="8" t="str">
        <f ca="1">IFERROR(__xludf.DUMMYFUNCTION("""COMPUTED_VALUE"""),"UAE")</f>
        <v>UAE</v>
      </c>
      <c r="O220" s="8" t="str">
        <f ca="1">IFERROR(__xludf.DUMMYFUNCTION("""COMPUTED_VALUE"""),"6.0 m")</f>
        <v>6.0 m</v>
      </c>
    </row>
    <row r="221" spans="1:15" ht="15.75" customHeight="1" x14ac:dyDescent="0.25">
      <c r="A221" s="8" t="str">
        <f ca="1">IFERROR(__xludf.DUMMYFUNCTION("""COMPUTED_VALUE"""),"TA 14493/11")</f>
        <v>TA 14493/11</v>
      </c>
      <c r="B221" s="8" t="str">
        <f ca="1">IFERROR(__xludf.DUMMYFUNCTION("""COMPUTED_VALUE"""),"Products Tanker")</f>
        <v>Products Tanker</v>
      </c>
      <c r="C221" s="9">
        <f ca="1">IFERROR(__xludf.DUMMYFUNCTION("""COMPUTED_VALUE"""),14493)</f>
        <v>14493</v>
      </c>
      <c r="D221" s="8" t="str">
        <f ca="1">IFERROR(__xludf.DUMMYFUNCTION("""COMPUTED_VALUE"""),"2011-China")</f>
        <v>2011-China</v>
      </c>
      <c r="E221" s="8" t="str">
        <f ca="1">IFERROR(__xludf.DUMMYFUNCTION("""COMPUTED_VALUE"""),"145.6 x 21.00")</f>
        <v>145.6 x 21.00</v>
      </c>
      <c r="F221" s="8" t="str">
        <f ca="1">IFERROR(__xludf.DUMMYFUNCTION("""COMPUTED_VALUE"""),"14")</f>
        <v>14</v>
      </c>
      <c r="G221" s="8">
        <f ca="1">IFERROR(__xludf.DUMMYFUNCTION("""COMPUTED_VALUE"""),16429)</f>
        <v>16429</v>
      </c>
      <c r="H221" s="8" t="str">
        <f ca="1">IFERROR(__xludf.DUMMYFUNCTION("""COMPUTED_VALUE"""),"?/Y Epoxy")</f>
        <v>?/Y Epoxy</v>
      </c>
      <c r="I221" s="8" t="str">
        <f ca="1">IFERROR(__xludf.DUMMYFUNCTION("""COMPUTED_VALUE"""),"2 x 750")</f>
        <v>2 x 750</v>
      </c>
      <c r="J221" s="8" t="str">
        <f ca="1">IFERROR(__xludf.DUMMYFUNCTION("""COMPUTED_VALUE"""),"Zi Chai")</f>
        <v>Zi Chai</v>
      </c>
      <c r="K221" s="8" t="str">
        <f ca="1">IFERROR(__xludf.DUMMYFUNCTION("""COMPUTED_VALUE"""),"-")</f>
        <v>-</v>
      </c>
      <c r="L221" s="8" t="str">
        <f ca="1">IFERROR(__xludf.DUMMYFUNCTION("""COMPUTED_VALUE"""),"Fitted")</f>
        <v>Fitted</v>
      </c>
      <c r="M221" s="8" t="str">
        <f ca="1">IFERROR(__xludf.DUMMYFUNCTION("""COMPUTED_VALUE"""),"OMCS 9.28D")</f>
        <v>OMCS 9.28D</v>
      </c>
      <c r="N221" s="8" t="str">
        <f ca="1">IFERROR(__xludf.DUMMYFUNCTION("""COMPUTED_VALUE"""),"Fareast")</f>
        <v>Fareast</v>
      </c>
      <c r="O221" s="8" t="str">
        <f ca="1">IFERROR(__xludf.DUMMYFUNCTION("""COMPUTED_VALUE"""),"B.offers")</f>
        <v>B.offers</v>
      </c>
    </row>
    <row r="222" spans="1:15" ht="15.75" customHeight="1" x14ac:dyDescent="0.25">
      <c r="A222" s="8" t="str">
        <f ca="1">IFERROR(__xludf.DUMMYFUNCTION("""COMPUTED_VALUE"""),"TA 14460/10")</f>
        <v>TA 14460/10</v>
      </c>
      <c r="B222" s="8" t="str">
        <f ca="1">IFERROR(__xludf.DUMMYFUNCTION("""COMPUTED_VALUE"""),"Chemical/Products Tanker")</f>
        <v>Chemical/Products Tanker</v>
      </c>
      <c r="C222" s="9">
        <f ca="1">IFERROR(__xludf.DUMMYFUNCTION("""COMPUTED_VALUE"""),14460)</f>
        <v>14460</v>
      </c>
      <c r="D222" s="8" t="str">
        <f ca="1">IFERROR(__xludf.DUMMYFUNCTION("""COMPUTED_VALUE"""),"2010-China")</f>
        <v>2010-China</v>
      </c>
      <c r="E222" s="8" t="str">
        <f ca="1">IFERROR(__xludf.DUMMYFUNCTION("""COMPUTED_VALUE"""),"139.3 x 20.80")</f>
        <v>139.3 x 20.80</v>
      </c>
      <c r="F222" s="8" t="str">
        <f ca="1">IFERROR(__xludf.DUMMYFUNCTION("""COMPUTED_VALUE"""),"12")</f>
        <v>12</v>
      </c>
      <c r="G222" s="8">
        <f ca="1">IFERROR(__xludf.DUMMYFUNCTION("""COMPUTED_VALUE"""),15910)</f>
        <v>15910</v>
      </c>
      <c r="H222" s="8" t="str">
        <f ca="1">IFERROR(__xludf.DUMMYFUNCTION("""COMPUTED_VALUE"""),"Y/Y Marineline")</f>
        <v>Y/Y Marineline</v>
      </c>
      <c r="I222" s="8" t="str">
        <f ca="1">IFERROR(__xludf.DUMMYFUNCTION("""COMPUTED_VALUE"""),"10 x 300")</f>
        <v>10 x 300</v>
      </c>
      <c r="J222" s="8" t="str">
        <f ca="1">IFERROR(__xludf.DUMMYFUNCTION("""COMPUTED_VALUE"""),"MAN")</f>
        <v>MAN</v>
      </c>
      <c r="K222" s="8" t="str">
        <f ca="1">IFERROR(__xludf.DUMMYFUNCTION("""COMPUTED_VALUE"""),"-")</f>
        <v>-</v>
      </c>
      <c r="L222" s="8" t="str">
        <f ca="1">IFERROR(__xludf.DUMMYFUNCTION("""COMPUTED_VALUE"""),"Fitted")</f>
        <v>Fitted</v>
      </c>
      <c r="M222" s="8" t="str">
        <f ca="1">IFERROR(__xludf.DUMMYFUNCTION("""COMPUTED_VALUE"""),"BV 4/25D")</f>
        <v>BV 4/25D</v>
      </c>
      <c r="N222" s="8" t="str">
        <f ca="1">IFERROR(__xludf.DUMMYFUNCTION("""COMPUTED_VALUE"""),"PG")</f>
        <v>PG</v>
      </c>
      <c r="O222" s="8" t="str">
        <f ca="1">IFERROR(__xludf.DUMMYFUNCTION("""COMPUTED_VALUE"""),"B.offers")</f>
        <v>B.offers</v>
      </c>
    </row>
    <row r="223" spans="1:15" ht="15.75" customHeight="1" x14ac:dyDescent="0.25">
      <c r="A223" s="8" t="str">
        <f ca="1">IFERROR(__xludf.DUMMYFUNCTION("""COMPUTED_VALUE"""),"TA 14445/10")</f>
        <v>TA 14445/10</v>
      </c>
      <c r="B223" s="8" t="str">
        <f ca="1">IFERROR(__xludf.DUMMYFUNCTION("""COMPUTED_VALUE"""),"Chemical/Products Tanker")</f>
        <v>Chemical/Products Tanker</v>
      </c>
      <c r="C223" s="9">
        <f ca="1">IFERROR(__xludf.DUMMYFUNCTION("""COMPUTED_VALUE"""),14445)</f>
        <v>14445</v>
      </c>
      <c r="D223" s="8" t="str">
        <f ca="1">IFERROR(__xludf.DUMMYFUNCTION("""COMPUTED_VALUE"""),"2010-China")</f>
        <v>2010-China</v>
      </c>
      <c r="E223" s="8" t="str">
        <f ca="1">IFERROR(__xludf.DUMMYFUNCTION("""COMPUTED_VALUE"""),"139.3 x 20.80")</f>
        <v>139.3 x 20.80</v>
      </c>
      <c r="F223" s="8" t="str">
        <f ca="1">IFERROR(__xludf.DUMMYFUNCTION("""COMPUTED_VALUE"""),"12")</f>
        <v>12</v>
      </c>
      <c r="G223" s="8">
        <f ca="1">IFERROR(__xludf.DUMMYFUNCTION("""COMPUTED_VALUE"""),15566)</f>
        <v>15566</v>
      </c>
      <c r="H223" s="8" t="str">
        <f ca="1">IFERROR(__xludf.DUMMYFUNCTION("""COMPUTED_VALUE"""),"Y/Y Marineline")</f>
        <v>Y/Y Marineline</v>
      </c>
      <c r="I223" s="8" t="str">
        <f ca="1">IFERROR(__xludf.DUMMYFUNCTION("""COMPUTED_VALUE"""),"10 x 300")</f>
        <v>10 x 300</v>
      </c>
      <c r="J223" s="8" t="str">
        <f ca="1">IFERROR(__xludf.DUMMYFUNCTION("""COMPUTED_VALUE"""),"MAN ")</f>
        <v xml:space="preserve">MAN </v>
      </c>
      <c r="K223" s="8" t="str">
        <f ca="1">IFERROR(__xludf.DUMMYFUNCTION("""COMPUTED_VALUE"""),"13.5k/17t IFO")</f>
        <v>13.5k/17t IFO</v>
      </c>
      <c r="L223" s="8" t="str">
        <f ca="1">IFERROR(__xludf.DUMMYFUNCTION("""COMPUTED_VALUE"""),"Fitted")</f>
        <v>Fitted</v>
      </c>
      <c r="M223" s="8" t="str">
        <f ca="1">IFERROR(__xludf.DUMMYFUNCTION("""COMPUTED_VALUE"""),"BV 1/30D")</f>
        <v>BV 1/30D</v>
      </c>
      <c r="N223" s="8" t="str">
        <f ca="1">IFERROR(__xludf.DUMMYFUNCTION("""COMPUTED_VALUE"""),"Fareast")</f>
        <v>Fareast</v>
      </c>
      <c r="O223" s="8" t="str">
        <f ca="1">IFERROR(__xludf.DUMMYFUNCTION("""COMPUTED_VALUE"""),"14.2-13.9 m")</f>
        <v>14.2-13.9 m</v>
      </c>
    </row>
    <row r="224" spans="1:15" ht="15.75" customHeight="1" x14ac:dyDescent="0.25">
      <c r="A224" s="8" t="str">
        <f ca="1">IFERROR(__xludf.DUMMYFUNCTION("""COMPUTED_VALUE"""),"TA 14411/11")</f>
        <v>TA 14411/11</v>
      </c>
      <c r="B224" s="8" t="str">
        <f ca="1">IFERROR(__xludf.DUMMYFUNCTION("""COMPUTED_VALUE"""),"Products Tanker")</f>
        <v>Products Tanker</v>
      </c>
      <c r="C224" s="9">
        <f ca="1">IFERROR(__xludf.DUMMYFUNCTION("""COMPUTED_VALUE"""),14411)</f>
        <v>14411</v>
      </c>
      <c r="D224" s="8" t="str">
        <f ca="1">IFERROR(__xludf.DUMMYFUNCTION("""COMPUTED_VALUE"""),"2011-China")</f>
        <v>2011-China</v>
      </c>
      <c r="E224" s="8" t="str">
        <f ca="1">IFERROR(__xludf.DUMMYFUNCTION("""COMPUTED_VALUE"""),"146.0 x 20.60")</f>
        <v>146.0 x 20.60</v>
      </c>
      <c r="F224" s="8" t="str">
        <f ca="1">IFERROR(__xludf.DUMMYFUNCTION("""COMPUTED_VALUE"""),"14")</f>
        <v>14</v>
      </c>
      <c r="G224" s="8">
        <f ca="1">IFERROR(__xludf.DUMMYFUNCTION("""COMPUTED_VALUE"""),16880)</f>
        <v>16880</v>
      </c>
      <c r="H224" s="8" t="str">
        <f ca="1">IFERROR(__xludf.DUMMYFUNCTION("""COMPUTED_VALUE"""),"?/Y Epoxy")</f>
        <v>?/Y Epoxy</v>
      </c>
      <c r="I224" s="8" t="str">
        <f ca="1">IFERROR(__xludf.DUMMYFUNCTION("""COMPUTED_VALUE"""),"2 x 750")</f>
        <v>2 x 750</v>
      </c>
      <c r="J224" s="8" t="str">
        <f ca="1">IFERROR(__xludf.DUMMYFUNCTION("""COMPUTED_VALUE"""),"Diesel STX")</f>
        <v>Diesel STX</v>
      </c>
      <c r="K224" s="8" t="str">
        <f ca="1">IFERROR(__xludf.DUMMYFUNCTION("""COMPUTED_VALUE"""),"-")</f>
        <v>-</v>
      </c>
      <c r="L224" s="8" t="str">
        <f ca="1">IFERROR(__xludf.DUMMYFUNCTION("""COMPUTED_VALUE"""),"Fitted")</f>
        <v>Fitted</v>
      </c>
      <c r="M224" s="8" t="str">
        <f ca="1">IFERROR(__xludf.DUMMYFUNCTION("""COMPUTED_VALUE"""),"OMCS Ice B")</f>
        <v>OMCS Ice B</v>
      </c>
      <c r="N224" s="8" t="str">
        <f ca="1">IFERROR(__xludf.DUMMYFUNCTION("""COMPUTED_VALUE"""),"Fareast")</f>
        <v>Fareast</v>
      </c>
      <c r="O224" s="8" t="str">
        <f ca="1">IFERROR(__xludf.DUMMYFUNCTION("""COMPUTED_VALUE"""),"B.offers")</f>
        <v>B.offers</v>
      </c>
    </row>
    <row r="225" spans="1:15" ht="15.75" customHeight="1" x14ac:dyDescent="0.25">
      <c r="A225" s="8" t="str">
        <f ca="1">IFERROR(__xludf.DUMMYFUNCTION("""COMPUTED_VALUE"""),"TA 14271/05")</f>
        <v>TA 14271/05</v>
      </c>
      <c r="B225" s="8" t="str">
        <f ca="1">IFERROR(__xludf.DUMMYFUNCTION("""COMPUTED_VALUE"""),"St.St.  Chemical Tanker")</f>
        <v>St.St.  Chemical Tanker</v>
      </c>
      <c r="C225" s="9">
        <f ca="1">IFERROR(__xludf.DUMMYFUNCTION("""COMPUTED_VALUE"""),14271)</f>
        <v>14271</v>
      </c>
      <c r="D225" s="8" t="str">
        <f ca="1">IFERROR(__xludf.DUMMYFUNCTION("""COMPUTED_VALUE"""),"2005-Japan")</f>
        <v>2005-Japan</v>
      </c>
      <c r="E225" s="8" t="str">
        <f ca="1">IFERROR(__xludf.DUMMYFUNCTION("""COMPUTED_VALUE"""),"134.1 x 20.50")</f>
        <v>134.1 x 20.50</v>
      </c>
      <c r="F225" s="8" t="str">
        <f ca="1">IFERROR(__xludf.DUMMYFUNCTION("""COMPUTED_VALUE"""),"18")</f>
        <v>18</v>
      </c>
      <c r="G225" s="8">
        <f ca="1">IFERROR(__xludf.DUMMYFUNCTION("""COMPUTED_VALUE"""),16240)</f>
        <v>16240</v>
      </c>
      <c r="H225" s="8" t="str">
        <f ca="1">IFERROR(__xludf.DUMMYFUNCTION("""COMPUTED_VALUE"""),"Y/stst Tanks")</f>
        <v>Y/stst Tanks</v>
      </c>
      <c r="I225" s="8" t="str">
        <f ca="1">IFERROR(__xludf.DUMMYFUNCTION("""COMPUTED_VALUE"""),"10x300+10x20")</f>
        <v>10x300+10x20</v>
      </c>
      <c r="J225" s="8" t="str">
        <f ca="1">IFERROR(__xludf.DUMMYFUNCTION("""COMPUTED_VALUE"""),"MAN-B&amp;W")</f>
        <v>MAN-B&amp;W</v>
      </c>
      <c r="K225" s="8" t="str">
        <f ca="1">IFERROR(__xludf.DUMMYFUNCTION("""COMPUTED_VALUE"""),"-")</f>
        <v>-</v>
      </c>
      <c r="L225" s="8" t="str">
        <f ca="1">IFERROR(__xludf.DUMMYFUNCTION("""COMPUTED_VALUE"""),"To be chkd")</f>
        <v>To be chkd</v>
      </c>
      <c r="M225" s="8" t="str">
        <f ca="1">IFERROR(__xludf.DUMMYFUNCTION("""COMPUTED_VALUE"""),"NK 1/25D")</f>
        <v>NK 1/25D</v>
      </c>
      <c r="N225" s="8" t="str">
        <f ca="1">IFERROR(__xludf.DUMMYFUNCTION("""COMPUTED_VALUE"""),"End July to be sold")</f>
        <v>End July to be sold</v>
      </c>
      <c r="O225" s="8" t="str">
        <f ca="1">IFERROR(__xludf.DUMMYFUNCTION("""COMPUTED_VALUE"""),"Bidding Platf.")</f>
        <v>Bidding Platf.</v>
      </c>
    </row>
    <row r="226" spans="1:15" ht="15.75" customHeight="1" x14ac:dyDescent="0.25">
      <c r="A226" s="8" t="str">
        <f ca="1">IFERROR(__xludf.DUMMYFUNCTION("""COMPUTED_VALUE"""),"TA 14000/12")</f>
        <v>TA 14000/12</v>
      </c>
      <c r="B226" s="8" t="str">
        <f ca="1">IFERROR(__xludf.DUMMYFUNCTION("""COMPUTED_VALUE"""),"Chemical IMO2 Tanker")</f>
        <v>Chemical IMO2 Tanker</v>
      </c>
      <c r="C226" s="9">
        <f ca="1">IFERROR(__xludf.DUMMYFUNCTION("""COMPUTED_VALUE"""),14000)</f>
        <v>14000</v>
      </c>
      <c r="D226" s="8" t="str">
        <f ca="1">IFERROR(__xludf.DUMMYFUNCTION("""COMPUTED_VALUE"""),"2012-China")</f>
        <v>2012-China</v>
      </c>
      <c r="E226" s="8" t="str">
        <f ca="1">IFERROR(__xludf.DUMMYFUNCTION("""COMPUTED_VALUE"""),"146.0 x 22.00")</f>
        <v>146.0 x 22.00</v>
      </c>
      <c r="F226" s="8" t="str">
        <f ca="1">IFERROR(__xludf.DUMMYFUNCTION("""COMPUTED_VALUE"""),"12")</f>
        <v>12</v>
      </c>
      <c r="G226" s="8">
        <f ca="1">IFERROR(__xludf.DUMMYFUNCTION("""COMPUTED_VALUE"""),16500)</f>
        <v>16500</v>
      </c>
      <c r="H226" s="8" t="str">
        <f ca="1">IFERROR(__xludf.DUMMYFUNCTION("""COMPUTED_VALUE"""),"Y/Y")</f>
        <v>Y/Y</v>
      </c>
      <c r="I226" s="8" t="str">
        <f ca="1">IFERROR(__xludf.DUMMYFUNCTION("""COMPUTED_VALUE"""),"7 x 500")</f>
        <v>7 x 500</v>
      </c>
      <c r="J226" s="8" t="str">
        <f ca="1">IFERROR(__xludf.DUMMYFUNCTION("""COMPUTED_VALUE"""),"MAN-B&amp;W")</f>
        <v>MAN-B&amp;W</v>
      </c>
      <c r="K226" s="8" t="str">
        <f ca="1">IFERROR(__xludf.DUMMYFUNCTION("""COMPUTED_VALUE"""),"-")</f>
        <v>-</v>
      </c>
      <c r="L226" s="8" t="str">
        <f ca="1">IFERROR(__xludf.DUMMYFUNCTION("""COMPUTED_VALUE"""),"Fitted")</f>
        <v>Fitted</v>
      </c>
      <c r="M226" s="8" t="str">
        <f ca="1">IFERROR(__xludf.DUMMYFUNCTION("""COMPUTED_VALUE"""),"LR 6/27 D")</f>
        <v>LR 6/27 D</v>
      </c>
      <c r="N226" s="8" t="str">
        <f ca="1">IFERROR(__xludf.DUMMYFUNCTION("""COMPUTED_VALUE"""),"India")</f>
        <v>India</v>
      </c>
      <c r="O226" s="8" t="str">
        <f ca="1">IFERROR(__xludf.DUMMYFUNCTION("""COMPUTED_VALUE"""),"B.offers")</f>
        <v>B.offers</v>
      </c>
    </row>
    <row r="227" spans="1:15" ht="15.75" customHeight="1" x14ac:dyDescent="0.25">
      <c r="A227" s="8" t="str">
        <f ca="1">IFERROR(__xludf.DUMMYFUNCTION("""COMPUTED_VALUE"""),"TA 13800/25")</f>
        <v>TA 13800/25</v>
      </c>
      <c r="B227" s="8" t="str">
        <f ca="1">IFERROR(__xludf.DUMMYFUNCTION("""COMPUTED_VALUE"""),"StSt Chemical Tanker")</f>
        <v>StSt Chemical Tanker</v>
      </c>
      <c r="C227" s="9">
        <f ca="1">IFERROR(__xludf.DUMMYFUNCTION("""COMPUTED_VALUE"""),13800)</f>
        <v>13800</v>
      </c>
      <c r="D227" s="8" t="str">
        <f ca="1">IFERROR(__xludf.DUMMYFUNCTION("""COMPUTED_VALUE"""),"2025-China")</f>
        <v>2025-China</v>
      </c>
      <c r="E227" s="8" t="str">
        <f ca="1">IFERROR(__xludf.DUMMYFUNCTION("""COMPUTED_VALUE"""),"132.0 x 21.50")</f>
        <v>132.0 x 21.50</v>
      </c>
      <c r="F227" s="8" t="str">
        <f ca="1">IFERROR(__xludf.DUMMYFUNCTION("""COMPUTED_VALUE"""),"14")</f>
        <v>14</v>
      </c>
      <c r="G227" s="8">
        <f ca="1">IFERROR(__xludf.DUMMYFUNCTION("""COMPUTED_VALUE"""),15200)</f>
        <v>15200</v>
      </c>
      <c r="H227" s="8" t="str">
        <f ca="1">IFERROR(__xludf.DUMMYFUNCTION("""COMPUTED_VALUE"""),"Y/stst Tanks")</f>
        <v>Y/stst Tanks</v>
      </c>
      <c r="I227" s="8" t="str">
        <f ca="1">IFERROR(__xludf.DUMMYFUNCTION("""COMPUTED_VALUE"""),"14 Framo")</f>
        <v>14 Framo</v>
      </c>
      <c r="J227" s="8" t="str">
        <f ca="1">IFERROR(__xludf.DUMMYFUNCTION("""COMPUTED_VALUE"""),"Mitsubishi")</f>
        <v>Mitsubishi</v>
      </c>
      <c r="K227" s="8" t="str">
        <f ca="1">IFERROR(__xludf.DUMMYFUNCTION("""COMPUTED_VALUE"""),"-")</f>
        <v>-</v>
      </c>
      <c r="L227" s="8" t="str">
        <f ca="1">IFERROR(__xludf.DUMMYFUNCTION("""COMPUTED_VALUE"""),"Fitted")</f>
        <v>Fitted</v>
      </c>
      <c r="M227" s="8" t="str">
        <f ca="1">IFERROR(__xludf.DUMMYFUNCTION("""COMPUTED_VALUE"""),"CCS Class")</f>
        <v>CCS Class</v>
      </c>
      <c r="N227" s="8" t="str">
        <f ca="1">IFERROR(__xludf.DUMMYFUNCTION("""COMPUTED_VALUE"""),"China")</f>
        <v>China</v>
      </c>
      <c r="O227" s="8" t="str">
        <f ca="1">IFERROR(__xludf.DUMMYFUNCTION("""COMPUTED_VALUE"""),"30.0 m")</f>
        <v>30.0 m</v>
      </c>
    </row>
    <row r="228" spans="1:15" ht="15.75" customHeight="1" x14ac:dyDescent="0.25">
      <c r="A228" s="8" t="str">
        <f ca="1">IFERROR(__xludf.DUMMYFUNCTION("""COMPUTED_VALUE"""),"TA 13794/20")</f>
        <v>TA 13794/20</v>
      </c>
      <c r="B228" s="8" t="str">
        <f ca="1">IFERROR(__xludf.DUMMYFUNCTION("""COMPUTED_VALUE"""),"Chemical Tanker IMO II")</f>
        <v>Chemical Tanker IMO II</v>
      </c>
      <c r="C228" s="9">
        <f ca="1">IFERROR(__xludf.DUMMYFUNCTION("""COMPUTED_VALUE"""),13794)</f>
        <v>13794</v>
      </c>
      <c r="D228" s="8" t="str">
        <f ca="1">IFERROR(__xludf.DUMMYFUNCTION("""COMPUTED_VALUE"""),"2020-China")</f>
        <v>2020-China</v>
      </c>
      <c r="E228" s="8" t="str">
        <f ca="1">IFERROR(__xludf.DUMMYFUNCTION("""COMPUTED_VALUE"""),"139.9 x 20.20")</f>
        <v>139.9 x 20.20</v>
      </c>
      <c r="F228" s="8" t="str">
        <f ca="1">IFERROR(__xludf.DUMMYFUNCTION("""COMPUTED_VALUE"""),"16")</f>
        <v>16</v>
      </c>
      <c r="G228" s="8">
        <f ca="1">IFERROR(__xludf.DUMMYFUNCTION("""COMPUTED_VALUE"""),15900)</f>
        <v>15900</v>
      </c>
      <c r="H228" s="8" t="str">
        <f ca="1">IFERROR(__xludf.DUMMYFUNCTION("""COMPUTED_VALUE"""),"Y/Y Epoxy Phen.")</f>
        <v>Y/Y Epoxy Phen.</v>
      </c>
      <c r="I228" s="8" t="str">
        <f ca="1">IFERROR(__xludf.DUMMYFUNCTION("""COMPUTED_VALUE"""),"3 x 750")</f>
        <v>3 x 750</v>
      </c>
      <c r="J228" s="8" t="str">
        <f ca="1">IFERROR(__xludf.DUMMYFUNCTION("""COMPUTED_VALUE"""),"WinGD War")</f>
        <v>WinGD War</v>
      </c>
      <c r="K228" s="8" t="str">
        <f ca="1">IFERROR(__xludf.DUMMYFUNCTION("""COMPUTED_VALUE"""),"13 kn")</f>
        <v>13 kn</v>
      </c>
      <c r="L228" s="8" t="str">
        <f ca="1">IFERROR(__xludf.DUMMYFUNCTION("""COMPUTED_VALUE"""),"Fitted")</f>
        <v>Fitted</v>
      </c>
      <c r="M228" s="8" t="str">
        <f ca="1">IFERROR(__xludf.DUMMYFUNCTION("""COMPUTED_VALUE"""),"CCS 7/25D")</f>
        <v>CCS 7/25D</v>
      </c>
      <c r="N228" s="8" t="str">
        <f ca="1">IFERROR(__xludf.DUMMYFUNCTION("""COMPUTED_VALUE"""),"China")</f>
        <v>China</v>
      </c>
      <c r="O228" s="8" t="str">
        <f ca="1">IFERROR(__xludf.DUMMYFUNCTION("""COMPUTED_VALUE"""),"22.0 m")</f>
        <v>22.0 m</v>
      </c>
    </row>
    <row r="229" spans="1:15" ht="15.75" customHeight="1" x14ac:dyDescent="0.25">
      <c r="A229" s="8" t="str">
        <f ca="1">IFERROR(__xludf.DUMMYFUNCTION("""COMPUTED_VALUE"""),"TA 13792/20")</f>
        <v>TA 13792/20</v>
      </c>
      <c r="B229" s="8" t="str">
        <f ca="1">IFERROR(__xludf.DUMMYFUNCTION("""COMPUTED_VALUE"""),"Chemical Tanker IMO II")</f>
        <v>Chemical Tanker IMO II</v>
      </c>
      <c r="C229" s="9">
        <f ca="1">IFERROR(__xludf.DUMMYFUNCTION("""COMPUTED_VALUE"""),13792)</f>
        <v>13792</v>
      </c>
      <c r="D229" s="8" t="str">
        <f ca="1">IFERROR(__xludf.DUMMYFUNCTION("""COMPUTED_VALUE"""),"2020-China")</f>
        <v>2020-China</v>
      </c>
      <c r="E229" s="8" t="str">
        <f ca="1">IFERROR(__xludf.DUMMYFUNCTION("""COMPUTED_VALUE"""),"139.9 x 20.20")</f>
        <v>139.9 x 20.20</v>
      </c>
      <c r="F229" s="8" t="str">
        <f ca="1">IFERROR(__xludf.DUMMYFUNCTION("""COMPUTED_VALUE"""),"16")</f>
        <v>16</v>
      </c>
      <c r="G229" s="8">
        <f ca="1">IFERROR(__xludf.DUMMYFUNCTION("""COMPUTED_VALUE"""),15900)</f>
        <v>15900</v>
      </c>
      <c r="H229" s="8" t="str">
        <f ca="1">IFERROR(__xludf.DUMMYFUNCTION("""COMPUTED_VALUE"""),"N/Epoxy Phenol.")</f>
        <v>N/Epoxy Phenol.</v>
      </c>
      <c r="I229" s="8" t="str">
        <f ca="1">IFERROR(__xludf.DUMMYFUNCTION("""COMPUTED_VALUE"""),"3 x 750")</f>
        <v>3 x 750</v>
      </c>
      <c r="J229" s="8" t="str">
        <f ca="1">IFERROR(__xludf.DUMMYFUNCTION("""COMPUTED_VALUE"""),"Wartsila")</f>
        <v>Wartsila</v>
      </c>
      <c r="K229" s="8" t="str">
        <f ca="1">IFERROR(__xludf.DUMMYFUNCTION("""COMPUTED_VALUE"""),"13 kn")</f>
        <v>13 kn</v>
      </c>
      <c r="L229" s="8" t="str">
        <f ca="1">IFERROR(__xludf.DUMMYFUNCTION("""COMPUTED_VALUE"""),"Fitted")</f>
        <v>Fitted</v>
      </c>
      <c r="M229" s="8" t="str">
        <f ca="1">IFERROR(__xludf.DUMMYFUNCTION("""COMPUTED_VALUE"""),"CCS 8/25D")</f>
        <v>CCS 8/25D</v>
      </c>
      <c r="N229" s="8" t="str">
        <f ca="1">IFERROR(__xludf.DUMMYFUNCTION("""COMPUTED_VALUE"""),"China")</f>
        <v>China</v>
      </c>
      <c r="O229" s="8" t="str">
        <f ca="1">IFERROR(__xludf.DUMMYFUNCTION("""COMPUTED_VALUE"""),"22.0 m")</f>
        <v>22.0 m</v>
      </c>
    </row>
    <row r="230" spans="1:15" ht="15.75" customHeight="1" x14ac:dyDescent="0.25">
      <c r="A230" s="8" t="str">
        <f ca="1">IFERROR(__xludf.DUMMYFUNCTION("""COMPUTED_VALUE"""),"TA 13550/24")</f>
        <v>TA 13550/24</v>
      </c>
      <c r="B230" s="8" t="str">
        <f ca="1">IFERROR(__xludf.DUMMYFUNCTION("""COMPUTED_VALUE"""),"Oil/Chemical Tanker IMO II ICE B")</f>
        <v>Oil/Chemical Tanker IMO II ICE B</v>
      </c>
      <c r="C230" s="9">
        <f ca="1">IFERROR(__xludf.DUMMYFUNCTION("""COMPUTED_VALUE"""),13550)</f>
        <v>13550</v>
      </c>
      <c r="D230" s="8" t="str">
        <f ca="1">IFERROR(__xludf.DUMMYFUNCTION("""COMPUTED_VALUE"""),"2024-China")</f>
        <v>2024-China</v>
      </c>
      <c r="E230" s="8" t="str">
        <f ca="1">IFERROR(__xludf.DUMMYFUNCTION("""COMPUTED_VALUE"""),"138.73 x 20.00")</f>
        <v>138.73 x 20.00</v>
      </c>
      <c r="F230" s="8" t="str">
        <f ca="1">IFERROR(__xludf.DUMMYFUNCTION("""COMPUTED_VALUE"""),"14")</f>
        <v>14</v>
      </c>
      <c r="G230" s="8">
        <f ca="1">IFERROR(__xludf.DUMMYFUNCTION("""COMPUTED_VALUE"""),16209)</f>
        <v>16209</v>
      </c>
      <c r="H230" s="8" t="str">
        <f ca="1">IFERROR(__xludf.DUMMYFUNCTION("""COMPUTED_VALUE"""),"Y stst / Y Epoxy")</f>
        <v>Y stst / Y Epoxy</v>
      </c>
      <c r="I230" s="8" t="str">
        <f ca="1">IFERROR(__xludf.DUMMYFUNCTION("""COMPUTED_VALUE"""),"12 x 300")</f>
        <v>12 x 300</v>
      </c>
      <c r="J230" s="8" t="str">
        <f ca="1">IFERROR(__xludf.DUMMYFUNCTION("""COMPUTED_VALUE"""),"Guangchai")</f>
        <v>Guangchai</v>
      </c>
      <c r="K230" s="8" t="str">
        <f ca="1">IFERROR(__xludf.DUMMYFUNCTION("""COMPUTED_VALUE"""),"12.5 kn")</f>
        <v>12.5 kn</v>
      </c>
      <c r="L230" s="8" t="str">
        <f ca="1">IFERROR(__xludf.DUMMYFUNCTION("""COMPUTED_VALUE"""),"Fitted")</f>
        <v>Fitted</v>
      </c>
      <c r="M230" s="8" t="str">
        <f ca="1">IFERROR(__xludf.DUMMYFUNCTION("""COMPUTED_VALUE"""),"CCS 11/29D")</f>
        <v>CCS 11/29D</v>
      </c>
      <c r="N230" s="8" t="str">
        <f ca="1">IFERROR(__xludf.DUMMYFUNCTION("""COMPUTED_VALUE"""),"China")</f>
        <v>China</v>
      </c>
      <c r="O230" s="8" t="str">
        <f ca="1">IFERROR(__xludf.DUMMYFUNCTION("""COMPUTED_VALUE"""),"22.5 m")</f>
        <v>22.5 m</v>
      </c>
    </row>
    <row r="231" spans="1:15" ht="15.75" customHeight="1" x14ac:dyDescent="0.25">
      <c r="A231" s="8" t="str">
        <f ca="1">IFERROR(__xludf.DUMMYFUNCTION("""COMPUTED_VALUE"""),"TA 13221/08")</f>
        <v>TA 13221/08</v>
      </c>
      <c r="B231" s="8" t="str">
        <f ca="1">IFERROR(__xludf.DUMMYFUNCTION("""COMPUTED_VALUE"""),"Chemical Tanker IMO II")</f>
        <v>Chemical Tanker IMO II</v>
      </c>
      <c r="C231" s="9">
        <f ca="1">IFERROR(__xludf.DUMMYFUNCTION("""COMPUTED_VALUE"""),13221)</f>
        <v>13221</v>
      </c>
      <c r="D231" s="8" t="str">
        <f ca="1">IFERROR(__xludf.DUMMYFUNCTION("""COMPUTED_VALUE"""),"2008-Korea")</f>
        <v>2008-Korea</v>
      </c>
      <c r="E231" s="8" t="str">
        <f ca="1">IFERROR(__xludf.DUMMYFUNCTION("""COMPUTED_VALUE"""),"127.86 x 20.40")</f>
        <v>127.86 x 20.40</v>
      </c>
      <c r="F231" s="8" t="str">
        <f ca="1">IFERROR(__xludf.DUMMYFUNCTION("""COMPUTED_VALUE"""),"12")</f>
        <v>12</v>
      </c>
      <c r="G231" s="8" t="str">
        <f ca="1">IFERROR(__xludf.DUMMYFUNCTION("""COMPUTED_VALUE"""),"-")</f>
        <v>-</v>
      </c>
      <c r="H231" s="8" t="str">
        <f ca="1">IFERROR(__xludf.DUMMYFUNCTION("""COMPUTED_VALUE"""),"N/Y Epoxy")</f>
        <v>N/Y Epoxy</v>
      </c>
      <c r="I231" s="8" t="str">
        <f ca="1">IFERROR(__xludf.DUMMYFUNCTION("""COMPUTED_VALUE"""),"12 x 300")</f>
        <v>12 x 300</v>
      </c>
      <c r="J231" s="8" t="str">
        <f ca="1">IFERROR(__xludf.DUMMYFUNCTION("""COMPUTED_VALUE"""),"MAN-B&amp;W")</f>
        <v>MAN-B&amp;W</v>
      </c>
      <c r="K231" s="8" t="str">
        <f ca="1">IFERROR(__xludf.DUMMYFUNCTION("""COMPUTED_VALUE"""),"12 KN")</f>
        <v>12 KN</v>
      </c>
      <c r="L231" s="8" t="str">
        <f ca="1">IFERROR(__xludf.DUMMYFUNCTION("""COMPUTED_VALUE"""),"Fitted")</f>
        <v>Fitted</v>
      </c>
      <c r="M231" s="8" t="str">
        <f ca="1">IFERROR(__xludf.DUMMYFUNCTION("""COMPUTED_VALUE"""),"BV 3/28D")</f>
        <v>BV 3/28D</v>
      </c>
      <c r="N231" s="10" t="str">
        <f ca="1">IFERROR(__xludf.DUMMYFUNCTION("""COMPUTED_VALUE"""),"India-SE.Asia")</f>
        <v>India-SE.Asia</v>
      </c>
      <c r="O231" s="8" t="str">
        <f ca="1">IFERROR(__xludf.DUMMYFUNCTION("""COMPUTED_VALUE"""),"B.offers")</f>
        <v>B.offers</v>
      </c>
    </row>
    <row r="232" spans="1:15" ht="15.75" customHeight="1" x14ac:dyDescent="0.25">
      <c r="A232" s="8" t="str">
        <f ca="1">IFERROR(__xludf.DUMMYFUNCTION("""COMPUTED_VALUE"""),"TA 13201/07")</f>
        <v>TA 13201/07</v>
      </c>
      <c r="B232" s="8" t="str">
        <f ca="1">IFERROR(__xludf.DUMMYFUNCTION("""COMPUTED_VALUE"""),"Oil/Chemical Tk IMO 2")</f>
        <v>Oil/Chemical Tk IMO 2</v>
      </c>
      <c r="C232" s="9">
        <f ca="1">IFERROR(__xludf.DUMMYFUNCTION("""COMPUTED_VALUE"""),13201)</f>
        <v>13201</v>
      </c>
      <c r="D232" s="8" t="str">
        <f ca="1">IFERROR(__xludf.DUMMYFUNCTION("""COMPUTED_VALUE"""),"2007-Korea")</f>
        <v>2007-Korea</v>
      </c>
      <c r="E232" s="8" t="str">
        <f ca="1">IFERROR(__xludf.DUMMYFUNCTION("""COMPUTED_VALUE"""),"128.6 x 20.43")</f>
        <v>128.6 x 20.43</v>
      </c>
      <c r="F232" s="8" t="str">
        <f ca="1">IFERROR(__xludf.DUMMYFUNCTION("""COMPUTED_VALUE"""),"12")</f>
        <v>12</v>
      </c>
      <c r="G232" s="8">
        <f ca="1">IFERROR(__xludf.DUMMYFUNCTION("""COMPUTED_VALUE"""),13673)</f>
        <v>13673</v>
      </c>
      <c r="H232" s="8" t="str">
        <f ca="1">IFERROR(__xludf.DUMMYFUNCTION("""COMPUTED_VALUE"""),"Y stst/Y Phen.Epo")</f>
        <v>Y stst/Y Phen.Epo</v>
      </c>
      <c r="I232" s="8" t="str">
        <f ca="1">IFERROR(__xludf.DUMMYFUNCTION("""COMPUTED_VALUE"""),"2 x 350")</f>
        <v>2 x 350</v>
      </c>
      <c r="J232" s="8" t="str">
        <f ca="1">IFERROR(__xludf.DUMMYFUNCTION("""COMPUTED_VALUE"""),"MAN-B&amp;W")</f>
        <v>MAN-B&amp;W</v>
      </c>
      <c r="K232" s="8" t="str">
        <f ca="1">IFERROR(__xludf.DUMMYFUNCTION("""COMPUTED_VALUE"""),"13.4 kn")</f>
        <v>13.4 kn</v>
      </c>
      <c r="L232" s="8" t="str">
        <f ca="1">IFERROR(__xludf.DUMMYFUNCTION("""COMPUTED_VALUE"""),"To be chkd")</f>
        <v>To be chkd</v>
      </c>
      <c r="M232" s="8" t="str">
        <f ca="1">IFERROR(__xludf.DUMMYFUNCTION("""COMPUTED_VALUE"""),"KR 1/28D")</f>
        <v>KR 1/28D</v>
      </c>
      <c r="N232" s="8" t="str">
        <f ca="1">IFERROR(__xludf.DUMMYFUNCTION("""COMPUTED_VALUE"""),"China")</f>
        <v>China</v>
      </c>
      <c r="O232" s="8" t="str">
        <f ca="1">IFERROR(__xludf.DUMMYFUNCTION("""COMPUTED_VALUE"""),"10-9.8 m")</f>
        <v>10-9.8 m</v>
      </c>
    </row>
    <row r="233" spans="1:15" ht="15.75" customHeight="1" x14ac:dyDescent="0.25">
      <c r="A233" s="8" t="str">
        <f ca="1">IFERROR(__xludf.DUMMYFUNCTION("""COMPUTED_VALUE"""),"TA 13190/99")</f>
        <v>TA 13190/99</v>
      </c>
      <c r="B233" s="8" t="str">
        <f ca="1">IFERROR(__xludf.DUMMYFUNCTION("""COMPUTED_VALUE"""),"Chemical/Ice E Tanker")</f>
        <v>Chemical/Ice E Tanker</v>
      </c>
      <c r="C233" s="9">
        <f ca="1">IFERROR(__xludf.DUMMYFUNCTION("""COMPUTED_VALUE"""),13190)</f>
        <v>13190</v>
      </c>
      <c r="D233" s="8" t="str">
        <f ca="1">IFERROR(__xludf.DUMMYFUNCTION("""COMPUTED_VALUE"""),"1999-German")</f>
        <v>1999-German</v>
      </c>
      <c r="E233" s="8" t="str">
        <f ca="1">IFERROR(__xludf.DUMMYFUNCTION("""COMPUTED_VALUE"""),"145.6 x 19.60")</f>
        <v>145.6 x 19.60</v>
      </c>
      <c r="F233" s="8" t="str">
        <f ca="1">IFERROR(__xludf.DUMMYFUNCTION("""COMPUTED_VALUE"""),"11")</f>
        <v>11</v>
      </c>
      <c r="G233" s="8">
        <f ca="1">IFERROR(__xludf.DUMMYFUNCTION("""COMPUTED_VALUE"""),14650)</f>
        <v>14650</v>
      </c>
      <c r="H233" s="8" t="str">
        <f ca="1">IFERROR(__xludf.DUMMYFUNCTION("""COMPUTED_VALUE"""),"N/Y Epoxy")</f>
        <v>N/Y Epoxy</v>
      </c>
      <c r="I233" s="8" t="str">
        <f ca="1">IFERROR(__xludf.DUMMYFUNCTION("""COMPUTED_VALUE"""),"10 x 230 Framo")</f>
        <v>10 x 230 Framo</v>
      </c>
      <c r="J233" s="8" t="str">
        <f ca="1">IFERROR(__xludf.DUMMYFUNCTION("""COMPUTED_VALUE"""),"MAK")</f>
        <v>MAK</v>
      </c>
      <c r="K233" s="8" t="str">
        <f ca="1">IFERROR(__xludf.DUMMYFUNCTION("""COMPUTED_VALUE"""),"-")</f>
        <v>-</v>
      </c>
      <c r="L233" s="8" t="str">
        <f ca="1">IFERROR(__xludf.DUMMYFUNCTION("""COMPUTED_VALUE"""),"To be chkd")</f>
        <v>To be chkd</v>
      </c>
      <c r="M233" s="8" t="str">
        <f ca="1">IFERROR(__xludf.DUMMYFUNCTION("""COMPUTED_VALUE"""),"NV 7/26D")</f>
        <v>NV 7/26D</v>
      </c>
      <c r="N233" s="8" t="str">
        <f ca="1">IFERROR(__xludf.DUMMYFUNCTION("""COMPUTED_VALUE"""),"Dubai DD")</f>
        <v>Dubai DD</v>
      </c>
      <c r="O233" s="8" t="str">
        <f ca="1">IFERROR(__xludf.DUMMYFUNCTION("""COMPUTED_VALUE"""),"5.0 m   ")</f>
        <v xml:space="preserve">5.0 m   </v>
      </c>
    </row>
    <row r="234" spans="1:15" ht="15.75" customHeight="1" x14ac:dyDescent="0.25">
      <c r="A234" s="8" t="str">
        <f ca="1">IFERROR(__xludf.DUMMYFUNCTION("""COMPUTED_VALUE"""),"TA 13008/14")</f>
        <v>TA 13008/14</v>
      </c>
      <c r="B234" s="8" t="str">
        <f ca="1">IFERROR(__xludf.DUMMYFUNCTION("""COMPUTED_VALUE"""),"Chemical StSt IMO II Tanker")</f>
        <v>Chemical StSt IMO II Tanker</v>
      </c>
      <c r="C234" s="9">
        <f ca="1">IFERROR(__xludf.DUMMYFUNCTION("""COMPUTED_VALUE"""),13008)</f>
        <v>13008</v>
      </c>
      <c r="D234" s="8" t="str">
        <f ca="1">IFERROR(__xludf.DUMMYFUNCTION("""COMPUTED_VALUE"""),"2014-Japan")</f>
        <v>2014-Japan</v>
      </c>
      <c r="E234" s="8" t="str">
        <f ca="1">IFERROR(__xludf.DUMMYFUNCTION("""COMPUTED_VALUE"""),"121.52 x 20.60")</f>
        <v>121.52 x 20.60</v>
      </c>
      <c r="F234" s="8" t="str">
        <f ca="1">IFERROR(__xludf.DUMMYFUNCTION("""COMPUTED_VALUE"""),"14")</f>
        <v>14</v>
      </c>
      <c r="G234" s="8">
        <f ca="1">IFERROR(__xludf.DUMMYFUNCTION("""COMPUTED_VALUE"""),13142)</f>
        <v>13142</v>
      </c>
      <c r="H234" s="8" t="str">
        <f ca="1">IFERROR(__xludf.DUMMYFUNCTION("""COMPUTED_VALUE"""),"Y stst/Y stst")</f>
        <v>Y stst/Y stst</v>
      </c>
      <c r="I234" s="8" t="str">
        <f ca="1">IFERROR(__xludf.DUMMYFUNCTION("""COMPUTED_VALUE"""),"4 x 300 Screw")</f>
        <v>4 x 300 Screw</v>
      </c>
      <c r="J234" s="8" t="str">
        <f ca="1">IFERROR(__xludf.DUMMYFUNCTION("""COMPUTED_VALUE"""),"MAN-B&amp;W")</f>
        <v>MAN-B&amp;W</v>
      </c>
      <c r="K234" s="8" t="str">
        <f ca="1">IFERROR(__xludf.DUMMYFUNCTION("""COMPUTED_VALUE"""),"-")</f>
        <v>-</v>
      </c>
      <c r="L234" s="8" t="str">
        <f ca="1">IFERROR(__xludf.DUMMYFUNCTION("""COMPUTED_VALUE"""),"To be chkd")</f>
        <v>To be chkd</v>
      </c>
      <c r="M234" s="8" t="str">
        <f ca="1">IFERROR(__xludf.DUMMYFUNCTION("""COMPUTED_VALUE"""),"KR 628D")</f>
        <v>KR 628D</v>
      </c>
      <c r="N234" s="10" t="str">
        <f ca="1">IFERROR(__xludf.DUMMYFUNCTION("""COMPUTED_VALUE"""),"SE.Asia")</f>
        <v>SE.Asia</v>
      </c>
      <c r="O234" s="8" t="str">
        <f ca="1">IFERROR(__xludf.DUMMYFUNCTION("""COMPUTED_VALUE"""),"B.offers")</f>
        <v>B.offers</v>
      </c>
    </row>
    <row r="235" spans="1:15" ht="15.75" customHeight="1" x14ac:dyDescent="0.25">
      <c r="A235" s="8" t="str">
        <f ca="1">IFERROR(__xludf.DUMMYFUNCTION("""COMPUTED_VALUE"""),"TA 12966/09")</f>
        <v>TA 12966/09</v>
      </c>
      <c r="B235" s="8" t="str">
        <f ca="1">IFERROR(__xludf.DUMMYFUNCTION("""COMPUTED_VALUE"""),"Chemical/Prods IMO 2+3")</f>
        <v>Chemical/Prods IMO 2+3</v>
      </c>
      <c r="C235" s="9">
        <f ca="1">IFERROR(__xludf.DUMMYFUNCTION("""COMPUTED_VALUE"""),12966)</f>
        <v>12966</v>
      </c>
      <c r="D235" s="8" t="str">
        <f ca="1">IFERROR(__xludf.DUMMYFUNCTION("""COMPUTED_VALUE"""),"2009-Korea")</f>
        <v>2009-Korea</v>
      </c>
      <c r="E235" s="8" t="str">
        <f ca="1">IFERROR(__xludf.DUMMYFUNCTION("""COMPUTED_VALUE"""),"120.0 x 20.40")</f>
        <v>120.0 x 20.40</v>
      </c>
      <c r="F235" s="8" t="str">
        <f ca="1">IFERROR(__xludf.DUMMYFUNCTION("""COMPUTED_VALUE"""),"12")</f>
        <v>12</v>
      </c>
      <c r="G235" s="8">
        <f ca="1">IFERROR(__xludf.DUMMYFUNCTION("""COMPUTED_VALUE"""),13687)</f>
        <v>13687</v>
      </c>
      <c r="H235" s="8" t="str">
        <f ca="1">IFERROR(__xludf.DUMMYFUNCTION("""COMPUTED_VALUE"""),"Y/Y Epoxy")</f>
        <v>Y/Y Epoxy</v>
      </c>
      <c r="I235" s="8" t="str">
        <f ca="1">IFERROR(__xludf.DUMMYFUNCTION("""COMPUTED_VALUE"""),"Framo Pumps")</f>
        <v>Framo Pumps</v>
      </c>
      <c r="J235" s="8" t="str">
        <f ca="1">IFERROR(__xludf.DUMMYFUNCTION("""COMPUTED_VALUE"""),"MAN-B&amp;W")</f>
        <v>MAN-B&amp;W</v>
      </c>
      <c r="K235" s="8" t="str">
        <f ca="1">IFERROR(__xludf.DUMMYFUNCTION("""COMPUTED_VALUE"""),"-")</f>
        <v>-</v>
      </c>
      <c r="L235" s="8" t="str">
        <f ca="1">IFERROR(__xludf.DUMMYFUNCTION("""COMPUTED_VALUE"""),"Fitting now")</f>
        <v>Fitting now</v>
      </c>
      <c r="M235" s="8" t="str">
        <f ca="1">IFERROR(__xludf.DUMMYFUNCTION("""COMPUTED_VALUE"""),"AB 1/25P")</f>
        <v>AB 1/25P</v>
      </c>
      <c r="N235" s="8" t="str">
        <f ca="1">IFERROR(__xludf.DUMMYFUNCTION("""COMPUTED_VALUE"""),"Med")</f>
        <v>Med</v>
      </c>
      <c r="O235" s="8" t="str">
        <f ca="1">IFERROR(__xludf.DUMMYFUNCTION("""COMPUTED_VALUE"""),"13.5 m")</f>
        <v>13.5 m</v>
      </c>
    </row>
    <row r="236" spans="1:15" ht="15.75" customHeight="1" x14ac:dyDescent="0.25">
      <c r="A236" s="8" t="str">
        <f ca="1">IFERROR(__xludf.DUMMYFUNCTION("""COMPUTED_VALUE"""),"TA 12934/06")</f>
        <v>TA 12934/06</v>
      </c>
      <c r="B236" s="8" t="str">
        <f ca="1">IFERROR(__xludf.DUMMYFUNCTION("""COMPUTED_VALUE"""),"Prodcust Tanker IMO II")</f>
        <v>Prodcust Tanker IMO II</v>
      </c>
      <c r="C236" s="9">
        <f ca="1">IFERROR(__xludf.DUMMYFUNCTION("""COMPUTED_VALUE"""),12934)</f>
        <v>12934</v>
      </c>
      <c r="D236" s="8" t="str">
        <f ca="1">IFERROR(__xludf.DUMMYFUNCTION("""COMPUTED_VALUE"""),"2006-Korea")</f>
        <v>2006-Korea</v>
      </c>
      <c r="E236" s="8" t="str">
        <f ca="1">IFERROR(__xludf.DUMMYFUNCTION("""COMPUTED_VALUE"""),"127.2 x 20.40")</f>
        <v>127.2 x 20.40</v>
      </c>
      <c r="F236" s="8" t="str">
        <f ca="1">IFERROR(__xludf.DUMMYFUNCTION("""COMPUTED_VALUE"""),"14")</f>
        <v>14</v>
      </c>
      <c r="G236" s="8">
        <f ca="1">IFERROR(__xludf.DUMMYFUNCTION("""COMPUTED_VALUE"""),13074)</f>
        <v>13074</v>
      </c>
      <c r="H236" s="8" t="str">
        <f ca="1">IFERROR(__xludf.DUMMYFUNCTION("""COMPUTED_VALUE"""),"Y/Y Pheno.Epoxy")</f>
        <v>Y/Y Pheno.Epoxy</v>
      </c>
      <c r="I236" s="8" t="str">
        <f ca="1">IFERROR(__xludf.DUMMYFUNCTION("""COMPUTED_VALUE"""),"12 x 300")</f>
        <v>12 x 300</v>
      </c>
      <c r="J236" s="8" t="str">
        <f ca="1">IFERROR(__xludf.DUMMYFUNCTION("""COMPUTED_VALUE"""),"MAN-B&amp;W")</f>
        <v>MAN-B&amp;W</v>
      </c>
      <c r="K236" s="8" t="str">
        <f ca="1">IFERROR(__xludf.DUMMYFUNCTION("""COMPUTED_VALUE"""),"13.4k/17.1t")</f>
        <v>13.4k/17.1t</v>
      </c>
      <c r="L236" s="8" t="str">
        <f ca="1">IFERROR(__xludf.DUMMYFUNCTION("""COMPUTED_VALUE"""),"To be chkd")</f>
        <v>To be chkd</v>
      </c>
      <c r="M236" s="8" t="str">
        <f ca="1">IFERROR(__xludf.DUMMYFUNCTION("""COMPUTED_VALUE"""),"NV 4/26D")</f>
        <v>NV 4/26D</v>
      </c>
      <c r="N236" s="8" t="str">
        <f ca="1">IFERROR(__xludf.DUMMYFUNCTION("""COMPUTED_VALUE"""),"Gambia")</f>
        <v>Gambia</v>
      </c>
      <c r="O236" s="8" t="str">
        <f ca="1">IFERROR(__xludf.DUMMYFUNCTION("""COMPUTED_VALUE"""),"9.0 m")</f>
        <v>9.0 m</v>
      </c>
    </row>
    <row r="237" spans="1:15" ht="15.75" customHeight="1" x14ac:dyDescent="0.25">
      <c r="A237" s="8" t="str">
        <f ca="1">IFERROR(__xludf.DUMMYFUNCTION("""COMPUTED_VALUE"""),"TA 12910/06")</f>
        <v>TA 12910/06</v>
      </c>
      <c r="B237" s="8" t="str">
        <f ca="1">IFERROR(__xludf.DUMMYFUNCTION("""COMPUTED_VALUE"""),"Products Tanker IMO II")</f>
        <v>Products Tanker IMO II</v>
      </c>
      <c r="C237" s="9">
        <f ca="1">IFERROR(__xludf.DUMMYFUNCTION("""COMPUTED_VALUE"""),12910)</f>
        <v>12910</v>
      </c>
      <c r="D237" s="8" t="str">
        <f ca="1">IFERROR(__xludf.DUMMYFUNCTION("""COMPUTED_VALUE"""),"2006-Korea")</f>
        <v>2006-Korea</v>
      </c>
      <c r="E237" s="8" t="str">
        <f ca="1">IFERROR(__xludf.DUMMYFUNCTION("""COMPUTED_VALUE"""),"127.2 x 20.40")</f>
        <v>127.2 x 20.40</v>
      </c>
      <c r="F237" s="8" t="str">
        <f ca="1">IFERROR(__xludf.DUMMYFUNCTION("""COMPUTED_VALUE"""),"14")</f>
        <v>14</v>
      </c>
      <c r="G237" s="8">
        <f ca="1">IFERROR(__xludf.DUMMYFUNCTION("""COMPUTED_VALUE"""),13074)</f>
        <v>13074</v>
      </c>
      <c r="H237" s="8" t="str">
        <f ca="1">IFERROR(__xludf.DUMMYFUNCTION("""COMPUTED_VALUE"""),"Y/Y Pheno.Epoxy")</f>
        <v>Y/Y Pheno.Epoxy</v>
      </c>
      <c r="I237" s="8" t="str">
        <f ca="1">IFERROR(__xludf.DUMMYFUNCTION("""COMPUTED_VALUE"""),"12 x 300")</f>
        <v>12 x 300</v>
      </c>
      <c r="J237" s="8" t="str">
        <f ca="1">IFERROR(__xludf.DUMMYFUNCTION("""COMPUTED_VALUE"""),"MAN-B&amp;W")</f>
        <v>MAN-B&amp;W</v>
      </c>
      <c r="K237" s="8" t="str">
        <f ca="1">IFERROR(__xludf.DUMMYFUNCTION("""COMPUTED_VALUE"""),"13.4k/18 t")</f>
        <v>13.4k/18 t</v>
      </c>
      <c r="L237" s="8" t="str">
        <f ca="1">IFERROR(__xludf.DUMMYFUNCTION("""COMPUTED_VALUE"""),"To be chkd")</f>
        <v>To be chkd</v>
      </c>
      <c r="M237" s="8" t="str">
        <f ca="1">IFERROR(__xludf.DUMMYFUNCTION("""COMPUTED_VALUE"""),"NV 1/26D")</f>
        <v>NV 1/26D</v>
      </c>
      <c r="N237" s="8" t="str">
        <f ca="1">IFERROR(__xludf.DUMMYFUNCTION("""COMPUTED_VALUE"""),"Abidjan WAF")</f>
        <v>Abidjan WAF</v>
      </c>
      <c r="O237" s="8" t="str">
        <f ca="1">IFERROR(__xludf.DUMMYFUNCTION("""COMPUTED_VALUE"""),"9.0 m")</f>
        <v>9.0 m</v>
      </c>
    </row>
    <row r="238" spans="1:15" ht="15.75" customHeight="1" x14ac:dyDescent="0.25">
      <c r="A238" s="8" t="str">
        <f ca="1">IFERROR(__xludf.DUMMYFUNCTION("""COMPUTED_VALUE"""),"TA 12902/06")</f>
        <v>TA 12902/06</v>
      </c>
      <c r="B238" s="8" t="str">
        <f ca="1">IFERROR(__xludf.DUMMYFUNCTION("""COMPUTED_VALUE"""),"Product/Chemical IMO II Tanker")</f>
        <v>Product/Chemical IMO II Tanker</v>
      </c>
      <c r="C238" s="9">
        <f ca="1">IFERROR(__xludf.DUMMYFUNCTION("""COMPUTED_VALUE"""),12902)</f>
        <v>12902</v>
      </c>
      <c r="D238" s="8" t="str">
        <f ca="1">IFERROR(__xludf.DUMMYFUNCTION("""COMPUTED_VALUE"""),"2006-Korea")</f>
        <v>2006-Korea</v>
      </c>
      <c r="E238" s="8" t="str">
        <f ca="1">IFERROR(__xludf.DUMMYFUNCTION("""COMPUTED_VALUE"""),"127.2 x 20.40")</f>
        <v>127.2 x 20.40</v>
      </c>
      <c r="F238" s="8" t="str">
        <f ca="1">IFERROR(__xludf.DUMMYFUNCTION("""COMPUTED_VALUE"""),"14")</f>
        <v>14</v>
      </c>
      <c r="G238" s="8">
        <f ca="1">IFERROR(__xludf.DUMMYFUNCTION("""COMPUTED_VALUE"""),13074)</f>
        <v>13074</v>
      </c>
      <c r="H238" s="8" t="str">
        <f ca="1">IFERROR(__xludf.DUMMYFUNCTION("""COMPUTED_VALUE"""),"Y/Y Epoxy")</f>
        <v>Y/Y Epoxy</v>
      </c>
      <c r="I238" s="8" t="str">
        <f ca="1">IFERROR(__xludf.DUMMYFUNCTION("""COMPUTED_VALUE"""),"12 x 350")</f>
        <v>12 x 350</v>
      </c>
      <c r="J238" s="8" t="str">
        <f ca="1">IFERROR(__xludf.DUMMYFUNCTION("""COMPUTED_VALUE"""),"MAN-B&amp;W")</f>
        <v>MAN-B&amp;W</v>
      </c>
      <c r="K238" s="8" t="str">
        <f ca="1">IFERROR(__xludf.DUMMYFUNCTION("""COMPUTED_VALUE"""),"13.4 k")</f>
        <v>13.4 k</v>
      </c>
      <c r="L238" s="8" t="str">
        <f ca="1">IFERROR(__xludf.DUMMYFUNCTION("""COMPUTED_VALUE"""),"Fitted")</f>
        <v>Fitted</v>
      </c>
      <c r="M238" s="8" t="str">
        <f ca="1">IFERROR(__xludf.DUMMYFUNCTION("""COMPUTED_VALUE"""),"BV 6.29D")</f>
        <v>BV 6.29D</v>
      </c>
      <c r="N238" s="8" t="str">
        <f ca="1">IFERROR(__xludf.DUMMYFUNCTION("""COMPUTED_VALUE"""),"Italy")</f>
        <v>Italy</v>
      </c>
      <c r="O238" s="8" t="str">
        <f ca="1">IFERROR(__xludf.DUMMYFUNCTION("""COMPUTED_VALUE"""),"B.offers")</f>
        <v>B.offers</v>
      </c>
    </row>
    <row r="239" spans="1:15" ht="15.75" customHeight="1" x14ac:dyDescent="0.25">
      <c r="A239" s="8" t="str">
        <f ca="1">IFERROR(__xludf.DUMMYFUNCTION("""COMPUTED_VALUE"""),"TA 12741/16")</f>
        <v>TA 12741/16</v>
      </c>
      <c r="B239" s="8" t="str">
        <f ca="1">IFERROR(__xludf.DUMMYFUNCTION("""COMPUTED_VALUE"""),"Prods/Chem./Methanol IMO 2 Tanker")</f>
        <v>Prods/Chem./Methanol IMO 2 Tanker</v>
      </c>
      <c r="C239" s="9">
        <f ca="1">IFERROR(__xludf.DUMMYFUNCTION("""COMPUTED_VALUE"""),12741)</f>
        <v>12741</v>
      </c>
      <c r="D239" s="8" t="str">
        <f ca="1">IFERROR(__xludf.DUMMYFUNCTION("""COMPUTED_VALUE"""),"2016-China")</f>
        <v>2016-China</v>
      </c>
      <c r="E239" s="8" t="str">
        <f ca="1">IFERROR(__xludf.DUMMYFUNCTION("""COMPUTED_VALUE"""),"134.8 x 22.00")</f>
        <v>134.8 x 22.00</v>
      </c>
      <c r="F239" s="8" t="str">
        <f ca="1">IFERROR(__xludf.DUMMYFUNCTION("""COMPUTED_VALUE"""),"10 ")</f>
        <v xml:space="preserve">10 </v>
      </c>
      <c r="G239" s="8" t="str">
        <f ca="1">IFERROR(__xludf.DUMMYFUNCTION("""COMPUTED_VALUE"""),"-")</f>
        <v>-</v>
      </c>
      <c r="H239" s="8" t="str">
        <f ca="1">IFERROR(__xludf.DUMMYFUNCTION("""COMPUTED_VALUE"""),"Y/Y Epoxy")</f>
        <v>Y/Y Epoxy</v>
      </c>
      <c r="I239" s="8" t="str">
        <f ca="1">IFERROR(__xludf.DUMMYFUNCTION("""COMPUTED_VALUE"""),"10 x 300")</f>
        <v>10 x 300</v>
      </c>
      <c r="J239" s="8" t="str">
        <f ca="1">IFERROR(__xludf.DUMMYFUNCTION("""COMPUTED_VALUE"""),"MAK")</f>
        <v>MAK</v>
      </c>
      <c r="K239" s="8" t="str">
        <f ca="1">IFERROR(__xludf.DUMMYFUNCTION("""COMPUTED_VALUE"""),"-")</f>
        <v>-</v>
      </c>
      <c r="L239" s="8" t="str">
        <f ca="1">IFERROR(__xludf.DUMMYFUNCTION("""COMPUTED_VALUE"""),"To be chkd")</f>
        <v>To be chkd</v>
      </c>
      <c r="M239" s="8" t="str">
        <f ca="1">IFERROR(__xludf.DUMMYFUNCTION("""COMPUTED_VALUE"""),"CCS 3/26D")</f>
        <v>CCS 3/26D</v>
      </c>
      <c r="N239" s="8" t="str">
        <f ca="1">IFERROR(__xludf.DUMMYFUNCTION("""COMPUTED_VALUE"""),"UAE-India")</f>
        <v>UAE-India</v>
      </c>
      <c r="O239" s="8" t="str">
        <f ca="1">IFERROR(__xludf.DUMMYFUNCTION("""COMPUTED_VALUE"""),"B.offers")</f>
        <v>B.offers</v>
      </c>
    </row>
    <row r="240" spans="1:15" ht="15.75" customHeight="1" x14ac:dyDescent="0.25">
      <c r="A240" s="8" t="str">
        <f ca="1">IFERROR(__xludf.DUMMYFUNCTION("""COMPUTED_VALUE"""),"TA 12705/04")</f>
        <v>TA 12705/04</v>
      </c>
      <c r="B240" s="8" t="str">
        <f ca="1">IFERROR(__xludf.DUMMYFUNCTION("""COMPUTED_VALUE"""),"St.St. Oil/Chemical Tanker")</f>
        <v>St.St. Oil/Chemical Tanker</v>
      </c>
      <c r="C240" s="9">
        <f ca="1">IFERROR(__xludf.DUMMYFUNCTION("""COMPUTED_VALUE"""),12705)</f>
        <v>12705</v>
      </c>
      <c r="D240" s="8" t="str">
        <f ca="1">IFERROR(__xludf.DUMMYFUNCTION("""COMPUTED_VALUE"""),"2004-Japan")</f>
        <v>2004-Japan</v>
      </c>
      <c r="E240" s="8" t="str">
        <f ca="1">IFERROR(__xludf.DUMMYFUNCTION("""COMPUTED_VALUE"""),"124.9 x 20.00")</f>
        <v>124.9 x 20.00</v>
      </c>
      <c r="F240" s="8" t="str">
        <f ca="1">IFERROR(__xludf.DUMMYFUNCTION("""COMPUTED_VALUE"""),"24")</f>
        <v>24</v>
      </c>
      <c r="G240" s="8">
        <f ca="1">IFERROR(__xludf.DUMMYFUNCTION("""COMPUTED_VALUE"""),13389)</f>
        <v>13389</v>
      </c>
      <c r="H240" s="8" t="str">
        <f ca="1">IFERROR(__xludf.DUMMYFUNCTION("""COMPUTED_VALUE"""),"Y/Y stst tanks")</f>
        <v>Y/Y stst tanks</v>
      </c>
      <c r="I240" s="8" t="str">
        <f ca="1">IFERROR(__xludf.DUMMYFUNCTION("""COMPUTED_VALUE"""),"8x300+8x200+6")</f>
        <v>8x300+8x200+6</v>
      </c>
      <c r="J240" s="8" t="str">
        <f ca="1">IFERROR(__xludf.DUMMYFUNCTION("""COMPUTED_VALUE"""),"MAN-B&amp;W")</f>
        <v>MAN-B&amp;W</v>
      </c>
      <c r="K240" s="8" t="str">
        <f ca="1">IFERROR(__xludf.DUMMYFUNCTION("""COMPUTED_VALUE"""),"14 k/17 t IFO")</f>
        <v>14 k/17 t IFO</v>
      </c>
      <c r="L240" s="8" t="str">
        <f ca="1">IFERROR(__xludf.DUMMYFUNCTION("""COMPUTED_VALUE"""),"Fitted")</f>
        <v>Fitted</v>
      </c>
      <c r="M240" s="8" t="str">
        <f ca="1">IFERROR(__xludf.DUMMYFUNCTION("""COMPUTED_VALUE"""),"KR 3.29D")</f>
        <v>KR 3.29D</v>
      </c>
      <c r="N240" s="8" t="str">
        <f ca="1">IFERROR(__xludf.DUMMYFUNCTION("""COMPUTED_VALUE"""),"Fareast")</f>
        <v>Fareast</v>
      </c>
      <c r="O240" s="8" t="str">
        <f ca="1">IFERROR(__xludf.DUMMYFUNCTION("""COMPUTED_VALUE"""),"B.offers")</f>
        <v>B.offers</v>
      </c>
    </row>
    <row r="241" spans="1:15" ht="15.75" customHeight="1" x14ac:dyDescent="0.25">
      <c r="A241" s="8" t="str">
        <f ca="1">IFERROR(__xludf.DUMMYFUNCTION("""COMPUTED_VALUE"""),"TA 12693/07")</f>
        <v>TA 12693/07</v>
      </c>
      <c r="B241" s="8" t="str">
        <f ca="1">IFERROR(__xludf.DUMMYFUNCTION("""COMPUTED_VALUE"""),"St.St. Chem.IMO 2+3 Tanker")</f>
        <v>St.St. Chem.IMO 2+3 Tanker</v>
      </c>
      <c r="C241" s="9">
        <f ca="1">IFERROR(__xludf.DUMMYFUNCTION("""COMPUTED_VALUE"""),12693)</f>
        <v>12693</v>
      </c>
      <c r="D241" s="8" t="str">
        <f ca="1">IFERROR(__xludf.DUMMYFUNCTION("""COMPUTED_VALUE"""),"2007-Japan")</f>
        <v>2007-Japan</v>
      </c>
      <c r="E241" s="8" t="str">
        <f ca="1">IFERROR(__xludf.DUMMYFUNCTION("""COMPUTED_VALUE"""),"127.6 x 19.60")</f>
        <v>127.6 x 19.60</v>
      </c>
      <c r="F241" s="8" t="str">
        <f ca="1">IFERROR(__xludf.DUMMYFUNCTION("""COMPUTED_VALUE"""),"18")</f>
        <v>18</v>
      </c>
      <c r="G241" s="8">
        <f ca="1">IFERROR(__xludf.DUMMYFUNCTION("""COMPUTED_VALUE"""),13898)</f>
        <v>13898</v>
      </c>
      <c r="H241" s="8" t="str">
        <f ca="1">IFERROR(__xludf.DUMMYFUNCTION("""COMPUTED_VALUE"""),"Y stst/Y stst tanks")</f>
        <v>Y stst/Y stst tanks</v>
      </c>
      <c r="I241" s="8" t="str">
        <f ca="1">IFERROR(__xludf.DUMMYFUNCTION("""COMPUTED_VALUE"""),"16 x 330")</f>
        <v>16 x 330</v>
      </c>
      <c r="J241" s="8" t="str">
        <f ca="1">IFERROR(__xludf.DUMMYFUNCTION("""COMPUTED_VALUE"""),"MAN-B&amp;W")</f>
        <v>MAN-B&amp;W</v>
      </c>
      <c r="K241" s="8" t="str">
        <f ca="1">IFERROR(__xludf.DUMMYFUNCTION("""COMPUTED_VALUE"""),"13.2k/13.5 t")</f>
        <v>13.2k/13.5 t</v>
      </c>
      <c r="L241" s="8" t="str">
        <f ca="1">IFERROR(__xludf.DUMMYFUNCTION("""COMPUTED_VALUE"""),"Fitted")</f>
        <v>Fitted</v>
      </c>
      <c r="M241" s="8" t="str">
        <f ca="1">IFERROR(__xludf.DUMMYFUNCTION("""COMPUTED_VALUE"""),"KR 9/27D")</f>
        <v>KR 9/27D</v>
      </c>
      <c r="N241" s="8" t="str">
        <f ca="1">IFERROR(__xludf.DUMMYFUNCTION("""COMPUTED_VALUE"""),"Med/Cont")</f>
        <v>Med/Cont</v>
      </c>
      <c r="O241" s="8" t="str">
        <f ca="1">IFERROR(__xludf.DUMMYFUNCTION("""COMPUTED_VALUE"""),"B.offers")</f>
        <v>B.offers</v>
      </c>
    </row>
    <row r="242" spans="1:15" ht="15.75" customHeight="1" x14ac:dyDescent="0.25">
      <c r="A242" s="8" t="str">
        <f ca="1">IFERROR(__xludf.DUMMYFUNCTION("""COMPUTED_VALUE"""),"TA 12692/11")</f>
        <v>TA 12692/11</v>
      </c>
      <c r="B242" s="8" t="str">
        <f ca="1">IFERROR(__xludf.DUMMYFUNCTION("""COMPUTED_VALUE"""),"Oil Products Ice B Tanker")</f>
        <v>Oil Products Ice B Tanker</v>
      </c>
      <c r="C242" s="9">
        <f ca="1">IFERROR(__xludf.DUMMYFUNCTION("""COMPUTED_VALUE"""),12692)</f>
        <v>12692</v>
      </c>
      <c r="D242" s="8" t="str">
        <f ca="1">IFERROR(__xludf.DUMMYFUNCTION("""COMPUTED_VALUE"""),"2011-China")</f>
        <v>2011-China</v>
      </c>
      <c r="E242" s="8" t="str">
        <f ca="1">IFERROR(__xludf.DUMMYFUNCTION("""COMPUTED_VALUE"""),"141.7 x 20.00")</f>
        <v>141.7 x 20.00</v>
      </c>
      <c r="F242" s="8" t="str">
        <f ca="1">IFERROR(__xludf.DUMMYFUNCTION("""COMPUTED_VALUE"""),"12")</f>
        <v>12</v>
      </c>
      <c r="G242" s="8">
        <f ca="1">IFERROR(__xludf.DUMMYFUNCTION("""COMPUTED_VALUE"""),13274)</f>
        <v>13274</v>
      </c>
      <c r="H242" s="8" t="str">
        <f ca="1">IFERROR(__xludf.DUMMYFUNCTION("""COMPUTED_VALUE"""),"Y stst /Y Epoxy")</f>
        <v>Y stst /Y Epoxy</v>
      </c>
      <c r="I242" s="8" t="str">
        <f ca="1">IFERROR(__xludf.DUMMYFUNCTION("""COMPUTED_VALUE"""),"1 x 1100+2 x 750")</f>
        <v>1 x 1100+2 x 750</v>
      </c>
      <c r="J242" s="8" t="str">
        <f ca="1">IFERROR(__xludf.DUMMYFUNCTION("""COMPUTED_VALUE"""),"Yanmar")</f>
        <v>Yanmar</v>
      </c>
      <c r="K242" s="8" t="str">
        <f ca="1">IFERROR(__xludf.DUMMYFUNCTION("""COMPUTED_VALUE"""),"13 kn")</f>
        <v>13 kn</v>
      </c>
      <c r="L242" s="8" t="str">
        <f ca="1">IFERROR(__xludf.DUMMYFUNCTION("""COMPUTED_VALUE"""),"Fitted")</f>
        <v>Fitted</v>
      </c>
      <c r="M242" s="8" t="str">
        <f ca="1">IFERROR(__xludf.DUMMYFUNCTION("""COMPUTED_VALUE"""),"CCS 9.26D")</f>
        <v>CCS 9.26D</v>
      </c>
      <c r="N242" s="8" t="str">
        <f ca="1">IFERROR(__xludf.DUMMYFUNCTION("""COMPUTED_VALUE"""),"South America")</f>
        <v>South America</v>
      </c>
      <c r="O242" s="8" t="str">
        <f ca="1">IFERROR(__xludf.DUMMYFUNCTION("""COMPUTED_VALUE"""),"10.5 m")</f>
        <v>10.5 m</v>
      </c>
    </row>
    <row r="243" spans="1:15" ht="15.75" customHeight="1" x14ac:dyDescent="0.25">
      <c r="A243" s="8" t="str">
        <f ca="1">IFERROR(__xludf.DUMMYFUNCTION("""COMPUTED_VALUE"""),"TA 12681/01A")</f>
        <v>TA 12681/01A</v>
      </c>
      <c r="B243" s="8" t="str">
        <f ca="1">IFERROR(__xludf.DUMMYFUNCTION("""COMPUTED_VALUE"""),"Chemical IMO 2 Tanker")</f>
        <v>Chemical IMO 2 Tanker</v>
      </c>
      <c r="C243" s="9">
        <f ca="1">IFERROR(__xludf.DUMMYFUNCTION("""COMPUTED_VALUE"""),12681)</f>
        <v>12681</v>
      </c>
      <c r="D243" s="8" t="str">
        <f ca="1">IFERROR(__xludf.DUMMYFUNCTION("""COMPUTED_VALUE"""),"2001-Holland")</f>
        <v>2001-Holland</v>
      </c>
      <c r="E243" s="8" t="str">
        <f ca="1">IFERROR(__xludf.DUMMYFUNCTION("""COMPUTED_VALUE"""),"129.9 x 20.00")</f>
        <v>129.9 x 20.00</v>
      </c>
      <c r="F243" s="8" t="str">
        <f ca="1">IFERROR(__xludf.DUMMYFUNCTION("""COMPUTED_VALUE"""),"13")</f>
        <v>13</v>
      </c>
      <c r="G243" s="8">
        <f ca="1">IFERROR(__xludf.DUMMYFUNCTION("""COMPUTED_VALUE"""),12392)</f>
        <v>12392</v>
      </c>
      <c r="H243" s="8" t="str">
        <f ca="1">IFERROR(__xludf.DUMMYFUNCTION("""COMPUTED_VALUE"""),"N/Y Epoxy")</f>
        <v>N/Y Epoxy</v>
      </c>
      <c r="I243" s="8" t="str">
        <f ca="1">IFERROR(__xludf.DUMMYFUNCTION("""COMPUTED_VALUE"""),"12 x 300")</f>
        <v>12 x 300</v>
      </c>
      <c r="J243" s="8" t="str">
        <f ca="1">IFERROR(__xludf.DUMMYFUNCTION("""COMPUTED_VALUE"""),"MAK")</f>
        <v>MAK</v>
      </c>
      <c r="K243" s="8" t="str">
        <f ca="1">IFERROR(__xludf.DUMMYFUNCTION("""COMPUTED_VALUE"""),"14 kn")</f>
        <v>14 kn</v>
      </c>
      <c r="L243" s="8" t="str">
        <f ca="1">IFERROR(__xludf.DUMMYFUNCTION("""COMPUTED_VALUE"""),"To be chkd")</f>
        <v>To be chkd</v>
      </c>
      <c r="M243" s="8" t="str">
        <f ca="1">IFERROR(__xludf.DUMMYFUNCTION("""COMPUTED_VALUE"""),"BV 11.26D")</f>
        <v>BV 11.26D</v>
      </c>
      <c r="N243" s="8" t="str">
        <f ca="1">IFERROR(__xludf.DUMMYFUNCTION("""COMPUTED_VALUE"""),"PG/E.Afr")</f>
        <v>PG/E.Afr</v>
      </c>
      <c r="O243" s="8" t="str">
        <f ca="1">IFERROR(__xludf.DUMMYFUNCTION("""COMPUTED_VALUE"""),"B.offers")</f>
        <v>B.offers</v>
      </c>
    </row>
    <row r="244" spans="1:15" ht="15.75" customHeight="1" x14ac:dyDescent="0.25">
      <c r="A244" s="8" t="str">
        <f ca="1">IFERROR(__xludf.DUMMYFUNCTION("""COMPUTED_VALUE"""),"TA 12681/01B")</f>
        <v>TA 12681/01B</v>
      </c>
      <c r="B244" s="8" t="str">
        <f ca="1">IFERROR(__xludf.DUMMYFUNCTION("""COMPUTED_VALUE"""),"Chemical IMO 2 Tanker")</f>
        <v>Chemical IMO 2 Tanker</v>
      </c>
      <c r="C244" s="9">
        <f ca="1">IFERROR(__xludf.DUMMYFUNCTION("""COMPUTED_VALUE"""),12681)</f>
        <v>12681</v>
      </c>
      <c r="D244" s="8" t="str">
        <f ca="1">IFERROR(__xludf.DUMMYFUNCTION("""COMPUTED_VALUE"""),"2001-Holland")</f>
        <v>2001-Holland</v>
      </c>
      <c r="E244" s="8" t="str">
        <f ca="1">IFERROR(__xludf.DUMMYFUNCTION("""COMPUTED_VALUE"""),"129.9 x 20.00")</f>
        <v>129.9 x 20.00</v>
      </c>
      <c r="F244" s="8" t="str">
        <f ca="1">IFERROR(__xludf.DUMMYFUNCTION("""COMPUTED_VALUE"""),"13")</f>
        <v>13</v>
      </c>
      <c r="G244" s="8">
        <f ca="1">IFERROR(__xludf.DUMMYFUNCTION("""COMPUTED_VALUE"""),12392)</f>
        <v>12392</v>
      </c>
      <c r="H244" s="8" t="str">
        <f ca="1">IFERROR(__xludf.DUMMYFUNCTION("""COMPUTED_VALUE"""),"N/Y Epoxy")</f>
        <v>N/Y Epoxy</v>
      </c>
      <c r="I244" s="8" t="str">
        <f ca="1">IFERROR(__xludf.DUMMYFUNCTION("""COMPUTED_VALUE"""),"12 x 300")</f>
        <v>12 x 300</v>
      </c>
      <c r="J244" s="8" t="str">
        <f ca="1">IFERROR(__xludf.DUMMYFUNCTION("""COMPUTED_VALUE"""),"MAK")</f>
        <v>MAK</v>
      </c>
      <c r="K244" s="8" t="str">
        <f ca="1">IFERROR(__xludf.DUMMYFUNCTION("""COMPUTED_VALUE"""),"14 kn")</f>
        <v>14 kn</v>
      </c>
      <c r="L244" s="8" t="str">
        <f ca="1">IFERROR(__xludf.DUMMYFUNCTION("""COMPUTED_VALUE"""),"Fitted")</f>
        <v>Fitted</v>
      </c>
      <c r="M244" s="8" t="str">
        <f ca="1">IFERROR(__xludf.DUMMYFUNCTION("""COMPUTED_VALUE"""),"BV 11.26D")</f>
        <v>BV 11.26D</v>
      </c>
      <c r="N244" s="8" t="str">
        <f ca="1">IFERROR(__xludf.DUMMYFUNCTION("""COMPUTED_VALUE"""),"PG/E.Afr")</f>
        <v>PG/E.Afr</v>
      </c>
      <c r="O244" s="8" t="str">
        <f ca="1">IFERROR(__xludf.DUMMYFUNCTION("""COMPUTED_VALUE"""),"B.offers")</f>
        <v>B.offers</v>
      </c>
    </row>
    <row r="245" spans="1:15" ht="15.75" customHeight="1" x14ac:dyDescent="0.25">
      <c r="A245" s="8" t="str">
        <f ca="1">IFERROR(__xludf.DUMMYFUNCTION("""COMPUTED_VALUE"""),"TA 12476/12")</f>
        <v>TA 12476/12</v>
      </c>
      <c r="B245" s="8" t="str">
        <f ca="1">IFERROR(__xludf.DUMMYFUNCTION("""COMPUTED_VALUE"""),"Oil/Products Tanker")</f>
        <v>Oil/Products Tanker</v>
      </c>
      <c r="C245" s="9">
        <f ca="1">IFERROR(__xludf.DUMMYFUNCTION("""COMPUTED_VALUE"""),12476)</f>
        <v>12476</v>
      </c>
      <c r="D245" s="8" t="str">
        <f ca="1">IFERROR(__xludf.DUMMYFUNCTION("""COMPUTED_VALUE"""),"2012-China")</f>
        <v>2012-China</v>
      </c>
      <c r="E245" s="8" t="str">
        <f ca="1">IFERROR(__xludf.DUMMYFUNCTION("""COMPUTED_VALUE"""),"126.0 x 19.80")</f>
        <v>126.0 x 19.80</v>
      </c>
      <c r="F245" s="8" t="str">
        <f ca="1">IFERROR(__xludf.DUMMYFUNCTION("""COMPUTED_VALUE"""),"10")</f>
        <v>10</v>
      </c>
      <c r="G245" s="8">
        <f ca="1">IFERROR(__xludf.DUMMYFUNCTION("""COMPUTED_VALUE"""),12890)</f>
        <v>12890</v>
      </c>
      <c r="H245" s="8" t="str">
        <f ca="1">IFERROR(__xludf.DUMMYFUNCTION("""COMPUTED_VALUE"""),"N/Y Epoxy")</f>
        <v>N/Y Epoxy</v>
      </c>
      <c r="I245" s="8" t="str">
        <f ca="1">IFERROR(__xludf.DUMMYFUNCTION("""COMPUTED_VALUE"""),"2 x 780")</f>
        <v>2 x 780</v>
      </c>
      <c r="J245" s="8" t="str">
        <f ca="1">IFERROR(__xludf.DUMMYFUNCTION("""COMPUTED_VALUE"""),"GN8320ZC")</f>
        <v>GN8320ZC</v>
      </c>
      <c r="K245" s="8" t="str">
        <f ca="1">IFERROR(__xludf.DUMMYFUNCTION("""COMPUTED_VALUE"""),"11.5k/8 t IFO")</f>
        <v>11.5k/8 t IFO</v>
      </c>
      <c r="L245" s="8" t="str">
        <f ca="1">IFERROR(__xludf.DUMMYFUNCTION("""COMPUTED_VALUE"""),"Fitted")</f>
        <v>Fitted</v>
      </c>
      <c r="M245" s="8" t="str">
        <f ca="1">IFERROR(__xludf.DUMMYFUNCTION("""COMPUTED_VALUE"""),"CCS 5.27D")</f>
        <v>CCS 5.27D</v>
      </c>
      <c r="N245" s="8" t="str">
        <f ca="1">IFERROR(__xludf.DUMMYFUNCTION("""COMPUTED_VALUE"""),"Fareast")</f>
        <v>Fareast</v>
      </c>
      <c r="O245" s="8" t="str">
        <f ca="1">IFERROR(__xludf.DUMMYFUNCTION("""COMPUTED_VALUE"""),"B.offers")</f>
        <v>B.offers</v>
      </c>
    </row>
    <row r="246" spans="1:15" ht="15.75" customHeight="1" x14ac:dyDescent="0.25">
      <c r="A246" s="8" t="str">
        <f ca="1">IFERROR(__xludf.DUMMYFUNCTION("""COMPUTED_VALUE"""),"TA 12412/06")</f>
        <v>TA 12412/06</v>
      </c>
      <c r="B246" s="8" t="str">
        <f ca="1">IFERROR(__xludf.DUMMYFUNCTION("""COMPUTED_VALUE"""),"Chemical/Products Tanker")</f>
        <v>Chemical/Products Tanker</v>
      </c>
      <c r="C246" s="9">
        <f ca="1">IFERROR(__xludf.DUMMYFUNCTION("""COMPUTED_VALUE"""),12412)</f>
        <v>12412</v>
      </c>
      <c r="D246" s="8" t="str">
        <f ca="1">IFERROR(__xludf.DUMMYFUNCTION("""COMPUTED_VALUE"""),"2006-Italy")</f>
        <v>2006-Italy</v>
      </c>
      <c r="E246" s="8" t="str">
        <f ca="1">IFERROR(__xludf.DUMMYFUNCTION("""COMPUTED_VALUE"""),"122.5 x 19.98")</f>
        <v>122.5 x 19.98</v>
      </c>
      <c r="F246" s="8" t="str">
        <f ca="1">IFERROR(__xludf.DUMMYFUNCTION("""COMPUTED_VALUE"""),"10")</f>
        <v>10</v>
      </c>
      <c r="G246" s="8">
        <f ca="1">IFERROR(__xludf.DUMMYFUNCTION("""COMPUTED_VALUE"""),11936)</f>
        <v>11936</v>
      </c>
      <c r="H246" s="8" t="str">
        <f ca="1">IFERROR(__xludf.DUMMYFUNCTION("""COMPUTED_VALUE"""),"Y/Y Marineline Epoxy")</f>
        <v>Y/Y Marineline Epoxy</v>
      </c>
      <c r="I246" s="8" t="str">
        <f ca="1">IFERROR(__xludf.DUMMYFUNCTION("""COMPUTED_VALUE"""),"10 x 300")</f>
        <v>10 x 300</v>
      </c>
      <c r="J246" s="8" t="str">
        <f ca="1">IFERROR(__xludf.DUMMYFUNCTION("""COMPUTED_VALUE"""),"MAK")</f>
        <v>MAK</v>
      </c>
      <c r="K246" s="8" t="str">
        <f ca="1">IFERROR(__xludf.DUMMYFUNCTION("""COMPUTED_VALUE"""),"13 k/18 t IFO 380")</f>
        <v>13 k/18 t IFO 380</v>
      </c>
      <c r="L246" s="8" t="str">
        <f ca="1">IFERROR(__xludf.DUMMYFUNCTION("""COMPUTED_VALUE"""),"To be chkd")</f>
        <v>To be chkd</v>
      </c>
      <c r="M246" s="8" t="str">
        <f ca="1">IFERROR(__xludf.DUMMYFUNCTION("""COMPUTED_VALUE"""),"RINA 3/26D")</f>
        <v>RINA 3/26D</v>
      </c>
      <c r="N246" s="8" t="str">
        <f ca="1">IFERROR(__xludf.DUMMYFUNCTION("""COMPUTED_VALUE"""),"Italy/Med")</f>
        <v>Italy/Med</v>
      </c>
      <c r="O246" s="8" t="str">
        <f ca="1">IFERROR(__xludf.DUMMYFUNCTION("""COMPUTED_VALUE"""),"9.7-9.5 m")</f>
        <v>9.7-9.5 m</v>
      </c>
    </row>
    <row r="247" spans="1:15" ht="15.75" customHeight="1" x14ac:dyDescent="0.25">
      <c r="A247" s="8" t="str">
        <f ca="1">IFERROR(__xludf.DUMMYFUNCTION("""COMPUTED_VALUE"""),"TA 12008/97")</f>
        <v>TA 12008/97</v>
      </c>
      <c r="B247" s="8" t="str">
        <f ca="1">IFERROR(__xludf.DUMMYFUNCTION("""COMPUTED_VALUE"""),"Oil/Chem Tk IMO 2")</f>
        <v>Oil/Chem Tk IMO 2</v>
      </c>
      <c r="C247" s="9">
        <f ca="1">IFERROR(__xludf.DUMMYFUNCTION("""COMPUTED_VALUE"""),12008)</f>
        <v>12008</v>
      </c>
      <c r="D247" s="8" t="str">
        <f ca="1">IFERROR(__xludf.DUMMYFUNCTION("""COMPUTED_VALUE"""),"1997-German")</f>
        <v>1997-German</v>
      </c>
      <c r="E247" s="8" t="str">
        <f ca="1">IFERROR(__xludf.DUMMYFUNCTION("""COMPUTED_VALUE"""),"120.0 x 24.00")</f>
        <v>120.0 x 24.00</v>
      </c>
      <c r="F247" s="8" t="str">
        <f ca="1">IFERROR(__xludf.DUMMYFUNCTION("""COMPUTED_VALUE"""),"16")</f>
        <v>16</v>
      </c>
      <c r="G247" s="8">
        <f ca="1">IFERROR(__xludf.DUMMYFUNCTION("""COMPUTED_VALUE"""),16091)</f>
        <v>16091</v>
      </c>
      <c r="H247" s="8" t="str">
        <f ca="1">IFERROR(__xludf.DUMMYFUNCTION("""COMPUTED_VALUE"""),"Y/Y Epoxy")</f>
        <v>Y/Y Epoxy</v>
      </c>
      <c r="I247" s="8" t="str">
        <f ca="1">IFERROR(__xludf.DUMMYFUNCTION("""COMPUTED_VALUE"""),"14 x 250")</f>
        <v>14 x 250</v>
      </c>
      <c r="J247" s="8" t="str">
        <f ca="1">IFERROR(__xludf.DUMMYFUNCTION("""COMPUTED_VALUE"""),"MAK")</f>
        <v>MAK</v>
      </c>
      <c r="K247" s="8" t="str">
        <f ca="1">IFERROR(__xludf.DUMMYFUNCTION("""COMPUTED_VALUE"""),"14k/22 t IFO")</f>
        <v>14k/22 t IFO</v>
      </c>
      <c r="L247" s="8" t="str">
        <f ca="1">IFERROR(__xludf.DUMMYFUNCTION("""COMPUTED_VALUE"""),"To be chkd")</f>
        <v>To be chkd</v>
      </c>
      <c r="M247" s="8" t="str">
        <f ca="1">IFERROR(__xludf.DUMMYFUNCTION("""COMPUTED_VALUE"""),"RI 7/27D")</f>
        <v>RI 7/27D</v>
      </c>
      <c r="N247" s="8" t="str">
        <f ca="1">IFERROR(__xludf.DUMMYFUNCTION("""COMPUTED_VALUE"""),"Baltic")</f>
        <v>Baltic</v>
      </c>
      <c r="O247" s="8" t="str">
        <f ca="1">IFERROR(__xludf.DUMMYFUNCTION("""COMPUTED_VALUE"""),"B.offers")</f>
        <v>B.offers</v>
      </c>
    </row>
    <row r="248" spans="1:15" ht="15.75" customHeight="1" x14ac:dyDescent="0.25">
      <c r="A248" s="8" t="str">
        <f ca="1">IFERROR(__xludf.DUMMYFUNCTION("""COMPUTED_VALUE"""),"TA 11999/05")</f>
        <v>TA 11999/05</v>
      </c>
      <c r="B248" s="8" t="str">
        <f ca="1">IFERROR(__xludf.DUMMYFUNCTION("""COMPUTED_VALUE"""),"Products Ice 1B Tanker")</f>
        <v>Products Ice 1B Tanker</v>
      </c>
      <c r="C248" s="9">
        <f ca="1">IFERROR(__xludf.DUMMYFUNCTION("""COMPUTED_VALUE"""),11999)</f>
        <v>11999</v>
      </c>
      <c r="D248" s="8" t="str">
        <f ca="1">IFERROR(__xludf.DUMMYFUNCTION("""COMPUTED_VALUE"""),"2005-China")</f>
        <v>2005-China</v>
      </c>
      <c r="E248" s="8" t="str">
        <f ca="1">IFERROR(__xludf.DUMMYFUNCTION("""COMPUTED_VALUE"""),"134.8 x 22.02")</f>
        <v>134.8 x 22.02</v>
      </c>
      <c r="F248" s="8" t="str">
        <f ca="1">IFERROR(__xludf.DUMMYFUNCTION("""COMPUTED_VALUE"""),"10")</f>
        <v>10</v>
      </c>
      <c r="G248" s="8">
        <f ca="1">IFERROR(__xludf.DUMMYFUNCTION("""COMPUTED_VALUE"""),13855)</f>
        <v>13855</v>
      </c>
      <c r="H248" s="8" t="str">
        <f ca="1">IFERROR(__xludf.DUMMYFUNCTION("""COMPUTED_VALUE"""),"Y/Y Epoxy Phen.")</f>
        <v>Y/Y Epoxy Phen.</v>
      </c>
      <c r="I248" s="8" t="str">
        <f ca="1">IFERROR(__xludf.DUMMYFUNCTION("""COMPUTED_VALUE"""),"3 x 500")</f>
        <v>3 x 500</v>
      </c>
      <c r="J248" s="8" t="str">
        <f ca="1">IFERROR(__xludf.DUMMYFUNCTION("""COMPUTED_VALUE"""),"MAN-B&amp;W")</f>
        <v>MAN-B&amp;W</v>
      </c>
      <c r="K248" s="8" t="str">
        <f ca="1">IFERROR(__xludf.DUMMYFUNCTION("""COMPUTED_VALUE"""),"13.5 k/18 t IFO")</f>
        <v>13.5 k/18 t IFO</v>
      </c>
      <c r="L248" s="8" t="str">
        <f ca="1">IFERROR(__xludf.DUMMYFUNCTION("""COMPUTED_VALUE"""),"To be chkd")</f>
        <v>To be chkd</v>
      </c>
      <c r="M248" s="8" t="str">
        <f ca="1">IFERROR(__xludf.DUMMYFUNCTION("""COMPUTED_VALUE"""),"AB 2/25ODU")</f>
        <v>AB 2/25ODU</v>
      </c>
      <c r="N248" s="8" t="str">
        <f ca="1">IFERROR(__xludf.DUMMYFUNCTION("""COMPUTED_VALUE"""),"W.Africa")</f>
        <v>W.Africa</v>
      </c>
      <c r="O248" s="8" t="str">
        <f ca="1">IFERROR(__xludf.DUMMYFUNCTION("""COMPUTED_VALUE"""),"B.offers")</f>
        <v>B.offers</v>
      </c>
    </row>
    <row r="249" spans="1:15" ht="15.75" customHeight="1" x14ac:dyDescent="0.25">
      <c r="A249" s="8" t="str">
        <f ca="1">IFERROR(__xludf.DUMMYFUNCTION("""COMPUTED_VALUE"""),"TA 11986/19")</f>
        <v>TA 11986/19</v>
      </c>
      <c r="B249" s="8" t="str">
        <f ca="1">IFERROR(__xludf.DUMMYFUNCTION("""COMPUTED_VALUE"""),"Product Tanker")</f>
        <v>Product Tanker</v>
      </c>
      <c r="C249" s="9">
        <f ca="1">IFERROR(__xludf.DUMMYFUNCTION("""COMPUTED_VALUE"""),11986)</f>
        <v>11986</v>
      </c>
      <c r="D249" s="8" t="str">
        <f ca="1">IFERROR(__xludf.DUMMYFUNCTION("""COMPUTED_VALUE"""),"2019-China")</f>
        <v>2019-China</v>
      </c>
      <c r="E249" s="8" t="str">
        <f ca="1">IFERROR(__xludf.DUMMYFUNCTION("""COMPUTED_VALUE"""),"138.16 x 19.00")</f>
        <v>138.16 x 19.00</v>
      </c>
      <c r="F249" s="8" t="str">
        <f ca="1">IFERROR(__xludf.DUMMYFUNCTION("""COMPUTED_VALUE"""),"13")</f>
        <v>13</v>
      </c>
      <c r="G249" s="8">
        <f ca="1">IFERROR(__xludf.DUMMYFUNCTION("""COMPUTED_VALUE"""),13891)</f>
        <v>13891</v>
      </c>
      <c r="H249" s="8" t="str">
        <f ca="1">IFERROR(__xludf.DUMMYFUNCTION("""COMPUTED_VALUE"""),"?/?")</f>
        <v>?/?</v>
      </c>
      <c r="I249" s="8" t="str">
        <f ca="1">IFERROR(__xludf.DUMMYFUNCTION("""COMPUTED_VALUE"""),"2 x 750")</f>
        <v>2 x 750</v>
      </c>
      <c r="J249" s="8" t="str">
        <f ca="1">IFERROR(__xludf.DUMMYFUNCTION("""COMPUTED_VALUE"""),"Guangzhou")</f>
        <v>Guangzhou</v>
      </c>
      <c r="K249" s="8" t="str">
        <f ca="1">IFERROR(__xludf.DUMMYFUNCTION("""COMPUTED_VALUE"""),"-")</f>
        <v>-</v>
      </c>
      <c r="L249" s="8" t="str">
        <f ca="1">IFERROR(__xludf.DUMMYFUNCTION("""COMPUTED_VALUE"""),"To be chkd")</f>
        <v>To be chkd</v>
      </c>
      <c r="M249" s="8" t="str">
        <f ca="1">IFERROR(__xludf.DUMMYFUNCTION("""COMPUTED_VALUE"""),"CCS Domestic")</f>
        <v>CCS Domestic</v>
      </c>
      <c r="N249" s="8" t="str">
        <f ca="1">IFERROR(__xludf.DUMMYFUNCTION("""COMPUTED_VALUE"""),"China")</f>
        <v>China</v>
      </c>
      <c r="O249" s="8" t="str">
        <f ca="1">IFERROR(__xludf.DUMMYFUNCTION("""COMPUTED_VALUE"""),"B.offers")</f>
        <v>B.offers</v>
      </c>
    </row>
    <row r="250" spans="1:15" ht="15.75" customHeight="1" x14ac:dyDescent="0.25">
      <c r="A250" s="8" t="str">
        <f ca="1">IFERROR(__xludf.DUMMYFUNCTION("""COMPUTED_VALUE"""),"TA 11975/10")</f>
        <v>TA 11975/10</v>
      </c>
      <c r="B250" s="8" t="str">
        <f ca="1">IFERROR(__xludf.DUMMYFUNCTION("""COMPUTED_VALUE"""),"Oil/Chem IMO 2 Tanker")</f>
        <v>Oil/Chem IMO 2 Tanker</v>
      </c>
      <c r="C250" s="9">
        <f ca="1">IFERROR(__xludf.DUMMYFUNCTION("""COMPUTED_VALUE"""),11975)</f>
        <v>11975</v>
      </c>
      <c r="D250" s="8" t="str">
        <f ca="1">IFERROR(__xludf.DUMMYFUNCTION("""COMPUTED_VALUE"""),"2010-China")</f>
        <v>2010-China</v>
      </c>
      <c r="E250" s="8" t="str">
        <f ca="1">IFERROR(__xludf.DUMMYFUNCTION("""COMPUTED_VALUE"""),"134.8 x 22.00")</f>
        <v>134.8 x 22.00</v>
      </c>
      <c r="F250" s="8" t="str">
        <f ca="1">IFERROR(__xludf.DUMMYFUNCTION("""COMPUTED_VALUE"""),"13")</f>
        <v>13</v>
      </c>
      <c r="G250" s="8">
        <f ca="1">IFERROR(__xludf.DUMMYFUNCTION("""COMPUTED_VALUE"""),13943)</f>
        <v>13943</v>
      </c>
      <c r="H250" s="8" t="str">
        <f ca="1">IFERROR(__xludf.DUMMYFUNCTION("""COMPUTED_VALUE"""),"Y/Y Epoxy")</f>
        <v>Y/Y Epoxy</v>
      </c>
      <c r="I250" s="8" t="str">
        <f ca="1">IFERROR(__xludf.DUMMYFUNCTION("""COMPUTED_VALUE"""),"10 x 300")</f>
        <v>10 x 300</v>
      </c>
      <c r="J250" s="8" t="str">
        <f ca="1">IFERROR(__xludf.DUMMYFUNCTION("""COMPUTED_VALUE"""),"Wartsila")</f>
        <v>Wartsila</v>
      </c>
      <c r="K250" s="8" t="str">
        <f ca="1">IFERROR(__xludf.DUMMYFUNCTION("""COMPUTED_VALUE"""),"-")</f>
        <v>-</v>
      </c>
      <c r="L250" s="8" t="str">
        <f ca="1">IFERROR(__xludf.DUMMYFUNCTION("""COMPUTED_VALUE"""),"To be chkd")</f>
        <v>To be chkd</v>
      </c>
      <c r="M250" s="8" t="str">
        <f ca="1">IFERROR(__xludf.DUMMYFUNCTION("""COMPUTED_VALUE"""),"CCS 7/25D")</f>
        <v>CCS 7/25D</v>
      </c>
      <c r="N250" s="8" t="str">
        <f ca="1">IFERROR(__xludf.DUMMYFUNCTION("""COMPUTED_VALUE"""),"China Dom")</f>
        <v>China Dom</v>
      </c>
      <c r="O250" s="8" t="str">
        <f ca="1">IFERROR(__xludf.DUMMYFUNCTION("""COMPUTED_VALUE"""),"B.offers")</f>
        <v>B.offers</v>
      </c>
    </row>
    <row r="251" spans="1:15" ht="15.75" customHeight="1" x14ac:dyDescent="0.25">
      <c r="A251" s="8" t="str">
        <f ca="1">IFERROR(__xludf.DUMMYFUNCTION("""COMPUTED_VALUE"""),"TA 12000/21")</f>
        <v>TA 12000/21</v>
      </c>
      <c r="B251" s="8" t="str">
        <f ca="1">IFERROR(__xludf.DUMMYFUNCTION("""COMPUTED_VALUE"""),"Landing Craft Tanker")</f>
        <v>Landing Craft Tanker</v>
      </c>
      <c r="C251" s="9">
        <f ca="1">IFERROR(__xludf.DUMMYFUNCTION("""COMPUTED_VALUE"""),12000)</f>
        <v>12000</v>
      </c>
      <c r="D251" s="8" t="str">
        <f ca="1">IFERROR(__xludf.DUMMYFUNCTION("""COMPUTED_VALUE"""),"2021-China")</f>
        <v>2021-China</v>
      </c>
      <c r="E251" s="8" t="str">
        <f ca="1">IFERROR(__xludf.DUMMYFUNCTION("""COMPUTED_VALUE"""),"120.0 x 28.00")</f>
        <v>120.0 x 28.00</v>
      </c>
      <c r="F251" s="8"/>
      <c r="G251" s="8">
        <f ca="1">IFERROR(__xludf.DUMMYFUNCTION("""COMPUTED_VALUE"""),11800)</f>
        <v>11800</v>
      </c>
      <c r="H251" s="8" t="str">
        <f ca="1">IFERROR(__xludf.DUMMYFUNCTION("""COMPUTED_VALUE"""),"?/?")</f>
        <v>?/?</v>
      </c>
      <c r="I251" s="8" t="str">
        <f ca="1">IFERROR(__xludf.DUMMYFUNCTION("""COMPUTED_VALUE"""),"?")</f>
        <v>?</v>
      </c>
      <c r="J251" s="8" t="str">
        <f ca="1">IFERROR(__xludf.DUMMYFUNCTION("""COMPUTED_VALUE"""),"Guangchai")</f>
        <v>Guangchai</v>
      </c>
      <c r="K251" s="8" t="str">
        <f ca="1">IFERROR(__xludf.DUMMYFUNCTION("""COMPUTED_VALUE"""),"12 k")</f>
        <v>12 k</v>
      </c>
      <c r="L251" s="8" t="str">
        <f ca="1">IFERROR(__xludf.DUMMYFUNCTION("""COMPUTED_VALUE"""),"To be chkd")</f>
        <v>To be chkd</v>
      </c>
      <c r="M251" s="8" t="str">
        <f ca="1">IFERROR(__xludf.DUMMYFUNCTION("""COMPUTED_VALUE"""),"ZC Class")</f>
        <v>ZC Class</v>
      </c>
      <c r="N251" s="8" t="str">
        <f ca="1">IFERROR(__xludf.DUMMYFUNCTION("""COMPUTED_VALUE"""),"China")</f>
        <v>China</v>
      </c>
      <c r="O251" s="8" t="str">
        <f ca="1">IFERROR(__xludf.DUMMYFUNCTION("""COMPUTED_VALUE"""),"B.offers")</f>
        <v>B.offers</v>
      </c>
    </row>
    <row r="252" spans="1:15" ht="15.75" customHeight="1" x14ac:dyDescent="0.25">
      <c r="A252" s="8" t="str">
        <f ca="1">IFERROR(__xludf.DUMMYFUNCTION("""COMPUTED_VALUE"""),"TA 11674/07")</f>
        <v>TA 11674/07</v>
      </c>
      <c r="B252" s="8" t="str">
        <f ca="1">IFERROR(__xludf.DUMMYFUNCTION("""COMPUTED_VALUE"""),"Chem/Prods IMO 2 CPP Tker")</f>
        <v>Chem/Prods IMO 2 CPP Tker</v>
      </c>
      <c r="C252" s="9">
        <f ca="1">IFERROR(__xludf.DUMMYFUNCTION("""COMPUTED_VALUE"""),11674)</f>
        <v>11674</v>
      </c>
      <c r="D252" s="8" t="str">
        <f ca="1">IFERROR(__xludf.DUMMYFUNCTION("""COMPUTED_VALUE"""),"2007-Turkey")</f>
        <v>2007-Turkey</v>
      </c>
      <c r="E252" s="8" t="str">
        <f ca="1">IFERROR(__xludf.DUMMYFUNCTION("""COMPUTED_VALUE"""),"119.45 x 20.00")</f>
        <v>119.45 x 20.00</v>
      </c>
      <c r="F252" s="8" t="str">
        <f ca="1">IFERROR(__xludf.DUMMYFUNCTION("""COMPUTED_VALUE"""),"14")</f>
        <v>14</v>
      </c>
      <c r="G252" s="8">
        <f ca="1">IFERROR(__xludf.DUMMYFUNCTION("""COMPUTED_VALUE"""),11080)</f>
        <v>11080</v>
      </c>
      <c r="H252" s="8" t="str">
        <f ca="1">IFERROR(__xludf.DUMMYFUNCTION("""COMPUTED_VALUE"""),"N/Y Epoxy")</f>
        <v>N/Y Epoxy</v>
      </c>
      <c r="I252" s="8" t="str">
        <f ca="1">IFERROR(__xludf.DUMMYFUNCTION("""COMPUTED_VALUE"""),"12 x 300")</f>
        <v>12 x 300</v>
      </c>
      <c r="J252" s="8" t="str">
        <f ca="1">IFERROR(__xludf.DUMMYFUNCTION("""COMPUTED_VALUE"""),"2 MAK")</f>
        <v>2 MAK</v>
      </c>
      <c r="K252" s="8" t="str">
        <f ca="1">IFERROR(__xludf.DUMMYFUNCTION("""COMPUTED_VALUE"""),"14k/17t IFO")</f>
        <v>14k/17t IFO</v>
      </c>
      <c r="L252" s="8" t="str">
        <f ca="1">IFERROR(__xludf.DUMMYFUNCTION("""COMPUTED_VALUE"""),"Fitted")</f>
        <v>Fitted</v>
      </c>
      <c r="M252" s="8" t="str">
        <f ca="1">IFERROR(__xludf.DUMMYFUNCTION("""COMPUTED_VALUE"""),"BV 11/26D")</f>
        <v>BV 11/26D</v>
      </c>
      <c r="N252" s="8" t="str">
        <f ca="1">IFERROR(__xludf.DUMMYFUNCTION("""COMPUTED_VALUE"""),"ARA/ECUK")</f>
        <v>ARA/ECUK</v>
      </c>
      <c r="O252" s="8" t="str">
        <f ca="1">IFERROR(__xludf.DUMMYFUNCTION("""COMPUTED_VALUE"""),"B.offers")</f>
        <v>B.offers</v>
      </c>
    </row>
    <row r="253" spans="1:15" ht="15.75" customHeight="1" x14ac:dyDescent="0.25">
      <c r="A253" s="8" t="str">
        <f ca="1">IFERROR(__xludf.DUMMYFUNCTION("""COMPUTED_VALUE"""),"TA 11543/22")</f>
        <v>TA 11543/22</v>
      </c>
      <c r="B253" s="8" t="str">
        <f ca="1">IFERROR(__xludf.DUMMYFUNCTION("""COMPUTED_VALUE"""),"Chemical Oil Tanker")</f>
        <v>Chemical Oil Tanker</v>
      </c>
      <c r="C253" s="9">
        <f ca="1">IFERROR(__xludf.DUMMYFUNCTION("""COMPUTED_VALUE"""),11543)</f>
        <v>11543</v>
      </c>
      <c r="D253" s="8" t="str">
        <f ca="1">IFERROR(__xludf.DUMMYFUNCTION("""COMPUTED_VALUE"""),"2022-China")</f>
        <v>2022-China</v>
      </c>
      <c r="E253" s="8" t="str">
        <f ca="1">IFERROR(__xludf.DUMMYFUNCTION("""COMPUTED_VALUE"""),"134.25 x20.80")</f>
        <v>134.25 x20.80</v>
      </c>
      <c r="F253" s="8" t="str">
        <f ca="1">IFERROR(__xludf.DUMMYFUNCTION("""COMPUTED_VALUE"""),"10")</f>
        <v>10</v>
      </c>
      <c r="G253" s="8">
        <f ca="1">IFERROR(__xludf.DUMMYFUNCTION("""COMPUTED_VALUE"""),14628)</f>
        <v>14628</v>
      </c>
      <c r="H253" s="8" t="str">
        <f ca="1">IFERROR(__xludf.DUMMYFUNCTION("""COMPUTED_VALUE"""),"?/?")</f>
        <v>?/?</v>
      </c>
      <c r="I253" s="8" t="str">
        <f ca="1">IFERROR(__xludf.DUMMYFUNCTION("""COMPUTED_VALUE"""),"2 x 1000")</f>
        <v>2 x 1000</v>
      </c>
      <c r="J253" s="8" t="str">
        <f ca="1">IFERROR(__xludf.DUMMYFUNCTION("""COMPUTED_VALUE"""),"Guagzhou")</f>
        <v>Guagzhou</v>
      </c>
      <c r="K253" s="8" t="str">
        <f ca="1">IFERROR(__xludf.DUMMYFUNCTION("""COMPUTED_VALUE"""),"-")</f>
        <v>-</v>
      </c>
      <c r="L253" s="8" t="str">
        <f ca="1">IFERROR(__xludf.DUMMYFUNCTION("""COMPUTED_VALUE"""),"To be chkd")</f>
        <v>To be chkd</v>
      </c>
      <c r="M253" s="8" t="str">
        <f ca="1">IFERROR(__xludf.DUMMYFUNCTION("""COMPUTED_VALUE"""),"CCS Dometic")</f>
        <v>CCS Dometic</v>
      </c>
      <c r="N253" s="8" t="str">
        <f ca="1">IFERROR(__xludf.DUMMYFUNCTION("""COMPUTED_VALUE"""),"China")</f>
        <v>China</v>
      </c>
      <c r="O253" s="8" t="str">
        <f ca="1">IFERROR(__xludf.DUMMYFUNCTION("""COMPUTED_VALUE"""),"B.offers")</f>
        <v>B.offers</v>
      </c>
    </row>
    <row r="254" spans="1:15" ht="15.75" customHeight="1" x14ac:dyDescent="0.25">
      <c r="A254" s="8" t="str">
        <f ca="1">IFERROR(__xludf.DUMMYFUNCTION("""COMPUTED_VALUE"""),"TA 11505/07")</f>
        <v>TA 11505/07</v>
      </c>
      <c r="B254" s="8" t="str">
        <f ca="1">IFERROR(__xludf.DUMMYFUNCTION("""COMPUTED_VALUE"""),"Chemical/Product Ice 1C Tanker")</f>
        <v>Chemical/Product Ice 1C Tanker</v>
      </c>
      <c r="C254" s="9">
        <f ca="1">IFERROR(__xludf.DUMMYFUNCTION("""COMPUTED_VALUE"""),11505)</f>
        <v>11505</v>
      </c>
      <c r="D254" s="8" t="str">
        <f ca="1">IFERROR(__xludf.DUMMYFUNCTION("""COMPUTED_VALUE"""),"2007-Turkey")</f>
        <v>2007-Turkey</v>
      </c>
      <c r="E254" s="8" t="str">
        <f ca="1">IFERROR(__xludf.DUMMYFUNCTION("""COMPUTED_VALUE"""),"130.12 x 19.60")</f>
        <v>130.12 x 19.60</v>
      </c>
      <c r="F254" s="8" t="str">
        <f ca="1">IFERROR(__xludf.DUMMYFUNCTION("""COMPUTED_VALUE"""),"20")</f>
        <v>20</v>
      </c>
      <c r="G254" s="8">
        <f ca="1">IFERROR(__xludf.DUMMYFUNCTION("""COMPUTED_VALUE"""),13019)</f>
        <v>13019</v>
      </c>
      <c r="H254" s="8" t="str">
        <f ca="1">IFERROR(__xludf.DUMMYFUNCTION("""COMPUTED_VALUE"""),"Y stst/Y Marineline")</f>
        <v>Y stst/Y Marineline</v>
      </c>
      <c r="I254" s="8" t="str">
        <f ca="1">IFERROR(__xludf.DUMMYFUNCTION("""COMPUTED_VALUE"""),"6 x 300 + 12 x 200")</f>
        <v>6 x 300 + 12 x 200</v>
      </c>
      <c r="J254" s="8" t="str">
        <f ca="1">IFERROR(__xludf.DUMMYFUNCTION("""COMPUTED_VALUE"""),"MAK")</f>
        <v>MAK</v>
      </c>
      <c r="K254" s="8" t="str">
        <f ca="1">IFERROR(__xludf.DUMMYFUNCTION("""COMPUTED_VALUE"""),"14 k")</f>
        <v>14 k</v>
      </c>
      <c r="L254" s="8" t="str">
        <f ca="1">IFERROR(__xludf.DUMMYFUNCTION("""COMPUTED_VALUE"""),"To be chkd")</f>
        <v>To be chkd</v>
      </c>
      <c r="M254" s="8" t="str">
        <f ca="1">IFERROR(__xludf.DUMMYFUNCTION("""COMPUTED_VALUE"""),"NV 3.25P")</f>
        <v>NV 3.25P</v>
      </c>
      <c r="N254" s="8" t="str">
        <f ca="1">IFERROR(__xludf.DUMMYFUNCTION("""COMPUTED_VALUE"""),"Med")</f>
        <v>Med</v>
      </c>
      <c r="O254" s="8" t="str">
        <f ca="1">IFERROR(__xludf.DUMMYFUNCTION("""COMPUTED_VALUE"""),"B.offers")</f>
        <v>B.offers</v>
      </c>
    </row>
    <row r="255" spans="1:15" ht="15.75" customHeight="1" x14ac:dyDescent="0.25">
      <c r="A255" s="8" t="str">
        <f ca="1">IFERROR(__xludf.DUMMYFUNCTION("""COMPUTED_VALUE"""),"TA 11420/06")</f>
        <v>TA 11420/06</v>
      </c>
      <c r="B255" s="8" t="str">
        <f ca="1">IFERROR(__xludf.DUMMYFUNCTION("""COMPUTED_VALUE"""),"Products/Chemical Tanker")</f>
        <v>Products/Chemical Tanker</v>
      </c>
      <c r="C255" s="9">
        <f ca="1">IFERROR(__xludf.DUMMYFUNCTION("""COMPUTED_VALUE"""),11420)</f>
        <v>11420</v>
      </c>
      <c r="D255" s="8" t="str">
        <f ca="1">IFERROR(__xludf.DUMMYFUNCTION("""COMPUTED_VALUE"""),"2006-Korea")</f>
        <v>2006-Korea</v>
      </c>
      <c r="E255" s="8" t="str">
        <f ca="1">IFERROR(__xludf.DUMMYFUNCTION("""COMPUTED_VALUE"""),"116.5 x 20.00")</f>
        <v>116.5 x 20.00</v>
      </c>
      <c r="F255" s="8" t="str">
        <f ca="1">IFERROR(__xludf.DUMMYFUNCTION("""COMPUTED_VALUE"""),"12")</f>
        <v>12</v>
      </c>
      <c r="G255" s="8">
        <f ca="1">IFERROR(__xludf.DUMMYFUNCTION("""COMPUTED_VALUE"""),12260)</f>
        <v>12260</v>
      </c>
      <c r="H255" s="8" t="str">
        <f ca="1">IFERROR(__xludf.DUMMYFUNCTION("""COMPUTED_VALUE"""),"Y st.st/Y Epoxy")</f>
        <v>Y st.st/Y Epoxy</v>
      </c>
      <c r="I255" s="8" t="str">
        <f ca="1">IFERROR(__xludf.DUMMYFUNCTION("""COMPUTED_VALUE"""),"10x300+2x100")</f>
        <v>10x300+2x100</v>
      </c>
      <c r="J255" s="8" t="str">
        <f ca="1">IFERROR(__xludf.DUMMYFUNCTION("""COMPUTED_VALUE"""),"MAN-B&amp;W")</f>
        <v>MAN-B&amp;W</v>
      </c>
      <c r="K255" s="8" t="str">
        <f ca="1">IFERROR(__xludf.DUMMYFUNCTION("""COMPUTED_VALUE"""),"13.6k/14.6t IFO")</f>
        <v>13.6k/14.6t IFO</v>
      </c>
      <c r="L255" s="8" t="str">
        <f ca="1">IFERROR(__xludf.DUMMYFUNCTION("""COMPUTED_VALUE"""),"Fitted")</f>
        <v>Fitted</v>
      </c>
      <c r="M255" s="8" t="str">
        <f ca="1">IFERROR(__xludf.DUMMYFUNCTION("""COMPUTED_VALUE"""),"KR 1/26D")</f>
        <v>KR 1/26D</v>
      </c>
      <c r="N255" s="8" t="str">
        <f ca="1">IFERROR(__xludf.DUMMYFUNCTION("""COMPUTED_VALUE"""),"Fareast")</f>
        <v>Fareast</v>
      </c>
      <c r="O255" s="8" t="str">
        <f ca="1">IFERROR(__xludf.DUMMYFUNCTION("""COMPUTED_VALUE"""),"B.offers")</f>
        <v>B.offers</v>
      </c>
    </row>
    <row r="256" spans="1:15" ht="15.75" customHeight="1" x14ac:dyDescent="0.25">
      <c r="A256" s="8" t="str">
        <f ca="1">IFERROR(__xludf.DUMMYFUNCTION("""COMPUTED_VALUE"""),"TA 11404/10")</f>
        <v>TA 11404/10</v>
      </c>
      <c r="B256" s="8" t="str">
        <f ca="1">IFERROR(__xludf.DUMMYFUNCTION("""COMPUTED_VALUE"""),"DPP Oil Bunkering Tanker")</f>
        <v>DPP Oil Bunkering Tanker</v>
      </c>
      <c r="C256" s="9">
        <f ca="1">IFERROR(__xludf.DUMMYFUNCTION("""COMPUTED_VALUE"""),11404)</f>
        <v>11404</v>
      </c>
      <c r="D256" s="8" t="str">
        <f ca="1">IFERROR(__xludf.DUMMYFUNCTION("""COMPUTED_VALUE"""),"2010-Indonesia")</f>
        <v>2010-Indonesia</v>
      </c>
      <c r="E256" s="8" t="str">
        <f ca="1">IFERROR(__xludf.DUMMYFUNCTION("""COMPUTED_VALUE"""),"137.00 x 18.80")</f>
        <v>137.00 x 18.80</v>
      </c>
      <c r="F256" s="8" t="str">
        <f ca="1">IFERROR(__xludf.DUMMYFUNCTION("""COMPUTED_VALUE"""),"12")</f>
        <v>12</v>
      </c>
      <c r="G256" s="8">
        <f ca="1">IFERROR(__xludf.DUMMYFUNCTION("""COMPUTED_VALUE"""),12358)</f>
        <v>12358</v>
      </c>
      <c r="H256" s="8" t="str">
        <f ca="1">IFERROR(__xludf.DUMMYFUNCTION("""COMPUTED_VALUE"""),"Y/Y Epoxy")</f>
        <v>Y/Y Epoxy</v>
      </c>
      <c r="I256" s="8" t="str">
        <f ca="1">IFERROR(__xludf.DUMMYFUNCTION("""COMPUTED_VALUE"""),"4x500 + 2x50")</f>
        <v>4x500 + 2x50</v>
      </c>
      <c r="J256" s="8" t="str">
        <f ca="1">IFERROR(__xludf.DUMMYFUNCTION("""COMPUTED_VALUE"""),"Caterpillar")</f>
        <v>Caterpillar</v>
      </c>
      <c r="K256" s="8" t="str">
        <f ca="1">IFERROR(__xludf.DUMMYFUNCTION("""COMPUTED_VALUE"""),"9.9k/17.4 t GO")</f>
        <v>9.9k/17.4 t GO</v>
      </c>
      <c r="L256" s="8" t="str">
        <f ca="1">IFERROR(__xludf.DUMMYFUNCTION("""COMPUTED_VALUE"""),"Fitted")</f>
        <v>Fitted</v>
      </c>
      <c r="M256" s="8" t="str">
        <f ca="1">IFERROR(__xludf.DUMMYFUNCTION("""COMPUTED_VALUE"""),"LR 10.25D")</f>
        <v>LR 10.25D</v>
      </c>
      <c r="N256" s="8" t="str">
        <f ca="1">IFERROR(__xludf.DUMMYFUNCTION("""COMPUTED_VALUE"""),"PG")</f>
        <v>PG</v>
      </c>
      <c r="O256" s="8" t="str">
        <f ca="1">IFERROR(__xludf.DUMMYFUNCTION("""COMPUTED_VALUE"""),"11-10.0 m")</f>
        <v>11-10.0 m</v>
      </c>
    </row>
    <row r="257" spans="1:15" ht="15.75" customHeight="1" x14ac:dyDescent="0.25">
      <c r="A257" s="8" t="str">
        <f ca="1">IFERROR(__xludf.DUMMYFUNCTION("""COMPUTED_VALUE"""),"TA 11320/07")</f>
        <v>TA 11320/07</v>
      </c>
      <c r="B257" s="8" t="str">
        <f ca="1">IFERROR(__xludf.DUMMYFUNCTION("""COMPUTED_VALUE"""),"Oil/Chemical/LPG Tanker")</f>
        <v>Oil/Chemical/LPG Tanker</v>
      </c>
      <c r="C257" s="9">
        <f ca="1">IFERROR(__xludf.DUMMYFUNCTION("""COMPUTED_VALUE"""),11320)</f>
        <v>11320</v>
      </c>
      <c r="D257" s="8" t="str">
        <f ca="1">IFERROR(__xludf.DUMMYFUNCTION("""COMPUTED_VALUE"""),"2007-Turkey")</f>
        <v>2007-Turkey</v>
      </c>
      <c r="E257" s="8" t="str">
        <f ca="1">IFERROR(__xludf.DUMMYFUNCTION("""COMPUTED_VALUE"""),"119.5 x 20.00")</f>
        <v>119.5 x 20.00</v>
      </c>
      <c r="F257" s="8" t="str">
        <f ca="1">IFERROR(__xludf.DUMMYFUNCTION("""COMPUTED_VALUE"""),"14")</f>
        <v>14</v>
      </c>
      <c r="G257" s="8">
        <f ca="1">IFERROR(__xludf.DUMMYFUNCTION("""COMPUTED_VALUE"""),11113)</f>
        <v>11113</v>
      </c>
      <c r="H257" s="8" t="str">
        <f ca="1">IFERROR(__xludf.DUMMYFUNCTION("""COMPUTED_VALUE"""),"Y Thermal/Y Ep")</f>
        <v>Y Thermal/Y Ep</v>
      </c>
      <c r="I257" s="8" t="str">
        <f ca="1">IFERROR(__xludf.DUMMYFUNCTION("""COMPUTED_VALUE"""),"12x300+2x100")</f>
        <v>12x300+2x100</v>
      </c>
      <c r="J257" s="8" t="str">
        <f ca="1">IFERROR(__xludf.DUMMYFUNCTION("""COMPUTED_VALUE"""),"MAK")</f>
        <v>MAK</v>
      </c>
      <c r="K257" s="8" t="str">
        <f ca="1">IFERROR(__xludf.DUMMYFUNCTION("""COMPUTED_VALUE"""),"14k/17 t IFO")</f>
        <v>14k/17 t IFO</v>
      </c>
      <c r="L257" s="8" t="str">
        <f ca="1">IFERROR(__xludf.DUMMYFUNCTION("""COMPUTED_VALUE"""),"Fitted")</f>
        <v>Fitted</v>
      </c>
      <c r="M257" s="8" t="str">
        <f ca="1">IFERROR(__xludf.DUMMYFUNCTION("""COMPUTED_VALUE"""),"BV 6/27D")</f>
        <v>BV 6/27D</v>
      </c>
      <c r="N257" s="8" t="str">
        <f ca="1">IFERROR(__xludf.DUMMYFUNCTION("""COMPUTED_VALUE"""),"ARA/ECUK")</f>
        <v>ARA/ECUK</v>
      </c>
      <c r="O257" s="8" t="str">
        <f ca="1">IFERROR(__xludf.DUMMYFUNCTION("""COMPUTED_VALUE"""),"9.5-9 m")</f>
        <v>9.5-9 m</v>
      </c>
    </row>
    <row r="258" spans="1:15" ht="15.75" customHeight="1" x14ac:dyDescent="0.25">
      <c r="A258" s="8" t="str">
        <f ca="1">IFERROR(__xludf.DUMMYFUNCTION("""COMPUTED_VALUE"""),"TA 11276/06")</f>
        <v>TA 11276/06</v>
      </c>
      <c r="B258" s="8" t="str">
        <f ca="1">IFERROR(__xludf.DUMMYFUNCTION("""COMPUTED_VALUE"""),"Oil/Chemical CPP Tanker")</f>
        <v>Oil/Chemical CPP Tanker</v>
      </c>
      <c r="C258" s="9">
        <f ca="1">IFERROR(__xludf.DUMMYFUNCTION("""COMPUTED_VALUE"""),11276)</f>
        <v>11276</v>
      </c>
      <c r="D258" s="8" t="str">
        <f ca="1">IFERROR(__xludf.DUMMYFUNCTION("""COMPUTED_VALUE"""),"2006-Turkey")</f>
        <v>2006-Turkey</v>
      </c>
      <c r="E258" s="8" t="str">
        <f ca="1">IFERROR(__xludf.DUMMYFUNCTION("""COMPUTED_VALUE"""),"119.9 x 18.80")</f>
        <v>119.9 x 18.80</v>
      </c>
      <c r="F258" s="8" t="str">
        <f ca="1">IFERROR(__xludf.DUMMYFUNCTION("""COMPUTED_VALUE"""),"14")</f>
        <v>14</v>
      </c>
      <c r="G258" s="8">
        <f ca="1">IFERROR(__xludf.DUMMYFUNCTION("""COMPUTED_VALUE"""),11410)</f>
        <v>11410</v>
      </c>
      <c r="H258" s="8" t="str">
        <f ca="1">IFERROR(__xludf.DUMMYFUNCTION("""COMPUTED_VALUE"""),"N/Y Epoxy")</f>
        <v>N/Y Epoxy</v>
      </c>
      <c r="I258" s="8" t="str">
        <f ca="1">IFERROR(__xludf.DUMMYFUNCTION("""COMPUTED_VALUE"""),"12 x 350")</f>
        <v>12 x 350</v>
      </c>
      <c r="J258" s="8" t="str">
        <f ca="1">IFERROR(__xludf.DUMMYFUNCTION("""COMPUTED_VALUE"""),"MAK")</f>
        <v>MAK</v>
      </c>
      <c r="K258" s="8" t="str">
        <f ca="1">IFERROR(__xludf.DUMMYFUNCTION("""COMPUTED_VALUE"""),"13.5k/16t IFO")</f>
        <v>13.5k/16t IFO</v>
      </c>
      <c r="L258" s="8" t="str">
        <f ca="1">IFERROR(__xludf.DUMMYFUNCTION("""COMPUTED_VALUE"""),"Fitted")</f>
        <v>Fitted</v>
      </c>
      <c r="M258" s="8" t="str">
        <f ca="1">IFERROR(__xludf.DUMMYFUNCTION("""COMPUTED_VALUE"""),"BV 2/26tD")</f>
        <v>BV 2/26tD</v>
      </c>
      <c r="N258" s="8" t="str">
        <f ca="1">IFERROR(__xludf.DUMMYFUNCTION("""COMPUTED_VALUE"""),"ARA/ECUK")</f>
        <v>ARA/ECUK</v>
      </c>
      <c r="O258" s="8" t="str">
        <f ca="1">IFERROR(__xludf.DUMMYFUNCTION("""COMPUTED_VALUE"""),"9-8.5 m")</f>
        <v>9-8.5 m</v>
      </c>
    </row>
    <row r="259" spans="1:15" ht="15.75" customHeight="1" x14ac:dyDescent="0.25">
      <c r="A259" s="8" t="str">
        <f ca="1">IFERROR(__xludf.DUMMYFUNCTION("""COMPUTED_VALUE"""),"TA 11270/06")</f>
        <v>TA 11270/06</v>
      </c>
      <c r="B259" s="8" t="str">
        <f ca="1">IFERROR(__xludf.DUMMYFUNCTION("""COMPUTED_VALUE"""),"Oil/Chemical Tanker")</f>
        <v>Oil/Chemical Tanker</v>
      </c>
      <c r="C259" s="9">
        <f ca="1">IFERROR(__xludf.DUMMYFUNCTION("""COMPUTED_VALUE"""),11270)</f>
        <v>11270</v>
      </c>
      <c r="D259" s="8" t="str">
        <f ca="1">IFERROR(__xludf.DUMMYFUNCTION("""COMPUTED_VALUE"""),"2006-Korea")</f>
        <v>2006-Korea</v>
      </c>
      <c r="E259" s="8" t="str">
        <f ca="1">IFERROR(__xludf.DUMMYFUNCTION("""COMPUTED_VALUE"""),"116.5 x 20.00")</f>
        <v>116.5 x 20.00</v>
      </c>
      <c r="F259" s="8" t="str">
        <f ca="1">IFERROR(__xludf.DUMMYFUNCTION("""COMPUTED_VALUE"""),"12")</f>
        <v>12</v>
      </c>
      <c r="G259" s="8">
        <f ca="1">IFERROR(__xludf.DUMMYFUNCTION("""COMPUTED_VALUE"""),11579)</f>
        <v>11579</v>
      </c>
      <c r="H259" s="8" t="str">
        <f ca="1">IFERROR(__xludf.DUMMYFUNCTION("""COMPUTED_VALUE"""),"Y stst/Y Epoxy")</f>
        <v>Y stst/Y Epoxy</v>
      </c>
      <c r="I259" s="8" t="str">
        <f ca="1">IFERROR(__xludf.DUMMYFUNCTION("""COMPUTED_VALUE"""),"10x300+2x100")</f>
        <v>10x300+2x100</v>
      </c>
      <c r="J259" s="8" t="str">
        <f ca="1">IFERROR(__xludf.DUMMYFUNCTION("""COMPUTED_VALUE"""),"MAN-B&amp;W")</f>
        <v>MAN-B&amp;W</v>
      </c>
      <c r="K259" s="8" t="str">
        <f ca="1">IFERROR(__xludf.DUMMYFUNCTION("""COMPUTED_VALUE"""),"-")</f>
        <v>-</v>
      </c>
      <c r="L259" s="8" t="str">
        <f ca="1">IFERROR(__xludf.DUMMYFUNCTION("""COMPUTED_VALUE"""),"Fitted")</f>
        <v>Fitted</v>
      </c>
      <c r="M259" s="8" t="str">
        <f ca="1">IFERROR(__xludf.DUMMYFUNCTION("""COMPUTED_VALUE"""),"KR 6/26D")</f>
        <v>KR 6/26D</v>
      </c>
      <c r="N259" s="8" t="str">
        <f ca="1">IFERROR(__xludf.DUMMYFUNCTION("""COMPUTED_VALUE"""),"Fareast")</f>
        <v>Fareast</v>
      </c>
      <c r="O259" s="8" t="str">
        <f ca="1">IFERROR(__xludf.DUMMYFUNCTION("""COMPUTED_VALUE"""),"B.offers")</f>
        <v>B.offers</v>
      </c>
    </row>
    <row r="260" spans="1:15" ht="15.75" customHeight="1" x14ac:dyDescent="0.25">
      <c r="A260" s="8" t="str">
        <f ca="1">IFERROR(__xludf.DUMMYFUNCTION("""COMPUTED_VALUE"""),"TA 11260/07")</f>
        <v>TA 11260/07</v>
      </c>
      <c r="B260" s="8" t="str">
        <f ca="1">IFERROR(__xludf.DUMMYFUNCTION("""COMPUTED_VALUE"""),"Products/Chemical Tanker")</f>
        <v>Products/Chemical Tanker</v>
      </c>
      <c r="C260" s="9">
        <f ca="1">IFERROR(__xludf.DUMMYFUNCTION("""COMPUTED_VALUE"""),11260)</f>
        <v>11260</v>
      </c>
      <c r="D260" s="8" t="str">
        <f ca="1">IFERROR(__xludf.DUMMYFUNCTION("""COMPUTED_VALUE"""),"2007-Korea")</f>
        <v>2007-Korea</v>
      </c>
      <c r="E260" s="8" t="str">
        <f ca="1">IFERROR(__xludf.DUMMYFUNCTION("""COMPUTED_VALUE"""),"116.5 x 20.00")</f>
        <v>116.5 x 20.00</v>
      </c>
      <c r="F260" s="8" t="str">
        <f ca="1">IFERROR(__xludf.DUMMYFUNCTION("""COMPUTED_VALUE"""),"12")</f>
        <v>12</v>
      </c>
      <c r="G260" s="8">
        <f ca="1">IFERROR(__xludf.DUMMYFUNCTION("""COMPUTED_VALUE"""),11579)</f>
        <v>11579</v>
      </c>
      <c r="H260" s="8" t="str">
        <f ca="1">IFERROR(__xludf.DUMMYFUNCTION("""COMPUTED_VALUE"""),"Y stst/Y Epoxy")</f>
        <v>Y stst/Y Epoxy</v>
      </c>
      <c r="I260" s="8" t="str">
        <f ca="1">IFERROR(__xludf.DUMMYFUNCTION("""COMPUTED_VALUE"""),"10x300+2x100")</f>
        <v>10x300+2x100</v>
      </c>
      <c r="J260" s="8" t="str">
        <f ca="1">IFERROR(__xludf.DUMMYFUNCTION("""COMPUTED_VALUE"""),"MAN-B&amp;W")</f>
        <v>MAN-B&amp;W</v>
      </c>
      <c r="K260" s="8" t="str">
        <f ca="1">IFERROR(__xludf.DUMMYFUNCTION("""COMPUTED_VALUE"""),"13.6k/14.6t IFO")</f>
        <v>13.6k/14.6t IFO</v>
      </c>
      <c r="L260" s="8" t="str">
        <f ca="1">IFERROR(__xludf.DUMMYFUNCTION("""COMPUTED_VALUE"""),"Fitted")</f>
        <v>Fitted</v>
      </c>
      <c r="M260" s="8" t="str">
        <f ca="1">IFERROR(__xludf.DUMMYFUNCTION("""COMPUTED_VALUE"""),"KR Class")</f>
        <v>KR Class</v>
      </c>
      <c r="N260" s="8" t="str">
        <f ca="1">IFERROR(__xludf.DUMMYFUNCTION("""COMPUTED_VALUE"""),"Fareast")</f>
        <v>Fareast</v>
      </c>
      <c r="O260" s="8" t="str">
        <f ca="1">IFERROR(__xludf.DUMMYFUNCTION("""COMPUTED_VALUE"""),"B.offers")</f>
        <v>B.offers</v>
      </c>
    </row>
    <row r="261" spans="1:15" ht="15.75" customHeight="1" x14ac:dyDescent="0.25">
      <c r="A261" s="8" t="str">
        <f ca="1">IFERROR(__xludf.DUMMYFUNCTION("""COMPUTED_VALUE"""),"TA 11249/06")</f>
        <v>TA 11249/06</v>
      </c>
      <c r="B261" s="8" t="str">
        <f ca="1">IFERROR(__xludf.DUMMYFUNCTION("""COMPUTED_VALUE"""),"Oil/Chemical Tanker")</f>
        <v>Oil/Chemical Tanker</v>
      </c>
      <c r="C261" s="9">
        <f ca="1">IFERROR(__xludf.DUMMYFUNCTION("""COMPUTED_VALUE"""),11249)</f>
        <v>11249</v>
      </c>
      <c r="D261" s="8" t="str">
        <f ca="1">IFERROR(__xludf.DUMMYFUNCTION("""COMPUTED_VALUE"""),"2006-Korea")</f>
        <v>2006-Korea</v>
      </c>
      <c r="E261" s="8" t="str">
        <f ca="1">IFERROR(__xludf.DUMMYFUNCTION("""COMPUTED_VALUE"""),"116.5 x 20.00")</f>
        <v>116.5 x 20.00</v>
      </c>
      <c r="F261" s="8" t="str">
        <f ca="1">IFERROR(__xludf.DUMMYFUNCTION("""COMPUTED_VALUE"""),"10")</f>
        <v>10</v>
      </c>
      <c r="G261" s="8">
        <f ca="1">IFERROR(__xludf.DUMMYFUNCTION("""COMPUTED_VALUE"""),11588)</f>
        <v>11588</v>
      </c>
      <c r="H261" s="8" t="str">
        <f ca="1">IFERROR(__xludf.DUMMYFUNCTION("""COMPUTED_VALUE"""),"Y/Y Epoxy")</f>
        <v>Y/Y Epoxy</v>
      </c>
      <c r="I261" s="8" t="str">
        <f ca="1">IFERROR(__xludf.DUMMYFUNCTION("""COMPUTED_VALUE"""),"10 x 300")</f>
        <v>10 x 300</v>
      </c>
      <c r="J261" s="8" t="str">
        <f ca="1">IFERROR(__xludf.DUMMYFUNCTION("""COMPUTED_VALUE"""),"MAN-B&amp;W")</f>
        <v>MAN-B&amp;W</v>
      </c>
      <c r="K261" s="8" t="str">
        <f ca="1">IFERROR(__xludf.DUMMYFUNCTION("""COMPUTED_VALUE"""),"-")</f>
        <v>-</v>
      </c>
      <c r="L261" s="8" t="str">
        <f ca="1">IFERROR(__xludf.DUMMYFUNCTION("""COMPUTED_VALUE"""),"Fitted")</f>
        <v>Fitted</v>
      </c>
      <c r="M261" s="8" t="str">
        <f ca="1">IFERROR(__xludf.DUMMYFUNCTION("""COMPUTED_VALUE"""),"KR 5/26D")</f>
        <v>KR 5/26D</v>
      </c>
      <c r="N261" s="8" t="str">
        <f ca="1">IFERROR(__xludf.DUMMYFUNCTION("""COMPUTED_VALUE"""),"Fareast")</f>
        <v>Fareast</v>
      </c>
      <c r="O261" s="8" t="str">
        <f ca="1">IFERROR(__xludf.DUMMYFUNCTION("""COMPUTED_VALUE"""),"B.offers")</f>
        <v>B.offers</v>
      </c>
    </row>
    <row r="262" spans="1:15" ht="15.75" customHeight="1" x14ac:dyDescent="0.25">
      <c r="A262" s="8" t="str">
        <f ca="1">IFERROR(__xludf.DUMMYFUNCTION("""COMPUTED_VALUE"""),"TA 11240/06")</f>
        <v>TA 11240/06</v>
      </c>
      <c r="B262" s="8" t="str">
        <f ca="1">IFERROR(__xludf.DUMMYFUNCTION("""COMPUTED_VALUE"""),"Oil/Chem Tk IMO 2")</f>
        <v>Oil/Chem Tk IMO 2</v>
      </c>
      <c r="C262" s="9">
        <f ca="1">IFERROR(__xludf.DUMMYFUNCTION("""COMPUTED_VALUE"""),11240)</f>
        <v>11240</v>
      </c>
      <c r="D262" s="8" t="str">
        <f ca="1">IFERROR(__xludf.DUMMYFUNCTION("""COMPUTED_VALUE"""),"2006-Korea")</f>
        <v>2006-Korea</v>
      </c>
      <c r="E262" s="8" t="str">
        <f ca="1">IFERROR(__xludf.DUMMYFUNCTION("""COMPUTED_VALUE"""),"116.5 x 20.00")</f>
        <v>116.5 x 20.00</v>
      </c>
      <c r="F262" s="8" t="str">
        <f ca="1">IFERROR(__xludf.DUMMYFUNCTION("""COMPUTED_VALUE"""),"12")</f>
        <v>12</v>
      </c>
      <c r="G262" s="8">
        <f ca="1">IFERROR(__xludf.DUMMYFUNCTION("""COMPUTED_VALUE"""),11579)</f>
        <v>11579</v>
      </c>
      <c r="H262" s="8" t="str">
        <f ca="1">IFERROR(__xludf.DUMMYFUNCTION("""COMPUTED_VALUE"""),"N/Y Epoxy")</f>
        <v>N/Y Epoxy</v>
      </c>
      <c r="I262" s="8" t="str">
        <f ca="1">IFERROR(__xludf.DUMMYFUNCTION("""COMPUTED_VALUE"""),"10 x 300+2 x 100")</f>
        <v>10 x 300+2 x 100</v>
      </c>
      <c r="J262" s="8" t="str">
        <f ca="1">IFERROR(__xludf.DUMMYFUNCTION("""COMPUTED_VALUE"""),"MAN-B&amp;W")</f>
        <v>MAN-B&amp;W</v>
      </c>
      <c r="K262" s="8" t="str">
        <f ca="1">IFERROR(__xludf.DUMMYFUNCTION("""COMPUTED_VALUE"""),"-")</f>
        <v>-</v>
      </c>
      <c r="L262" s="8" t="str">
        <f ca="1">IFERROR(__xludf.DUMMYFUNCTION("""COMPUTED_VALUE"""),"To be chkd")</f>
        <v>To be chkd</v>
      </c>
      <c r="M262" s="8" t="str">
        <f ca="1">IFERROR(__xludf.DUMMYFUNCTION("""COMPUTED_VALUE"""),"KR 6/26D")</f>
        <v>KR 6/26D</v>
      </c>
      <c r="N262" s="8" t="str">
        <f ca="1">IFERROR(__xludf.DUMMYFUNCTION("""COMPUTED_VALUE"""),"Fareast")</f>
        <v>Fareast</v>
      </c>
      <c r="O262" s="8" t="str">
        <f ca="1">IFERROR(__xludf.DUMMYFUNCTION("""COMPUTED_VALUE"""),"B.offers")</f>
        <v>B.offers</v>
      </c>
    </row>
    <row r="263" spans="1:15" ht="15.75" customHeight="1" x14ac:dyDescent="0.25">
      <c r="A263" s="8" t="str">
        <f ca="1">IFERROR(__xludf.DUMMYFUNCTION("""COMPUTED_VALUE"""),"TA 11210/09")</f>
        <v>TA 11210/09</v>
      </c>
      <c r="B263" s="8" t="str">
        <f ca="1">IFERROR(__xludf.DUMMYFUNCTION("""COMPUTED_VALUE"""),"Oil/Products Tanker")</f>
        <v>Oil/Products Tanker</v>
      </c>
      <c r="C263" s="9">
        <f ca="1">IFERROR(__xludf.DUMMYFUNCTION("""COMPUTED_VALUE"""),11210)</f>
        <v>11210</v>
      </c>
      <c r="D263" s="8" t="str">
        <f ca="1">IFERROR(__xludf.DUMMYFUNCTION("""COMPUTED_VALUE"""),"2009-China")</f>
        <v>2009-China</v>
      </c>
      <c r="E263" s="8" t="str">
        <f ca="1">IFERROR(__xludf.DUMMYFUNCTION("""COMPUTED_VALUE"""),"134.5 x 20.00")</f>
        <v>134.5 x 20.00</v>
      </c>
      <c r="F263" s="8" t="str">
        <f ca="1">IFERROR(__xludf.DUMMYFUNCTION("""COMPUTED_VALUE"""),"12")</f>
        <v>12</v>
      </c>
      <c r="G263" s="8">
        <f ca="1">IFERROR(__xludf.DUMMYFUNCTION("""COMPUTED_VALUE"""),12547)</f>
        <v>12547</v>
      </c>
      <c r="H263" s="8" t="str">
        <f ca="1">IFERROR(__xludf.DUMMYFUNCTION("""COMPUTED_VALUE"""),"Y/N")</f>
        <v>Y/N</v>
      </c>
      <c r="I263" s="8" t="str">
        <f ca="1">IFERROR(__xludf.DUMMYFUNCTION("""COMPUTED_VALUE"""),"2 x 750")</f>
        <v>2 x 750</v>
      </c>
      <c r="J263" s="8" t="str">
        <f ca="1">IFERROR(__xludf.DUMMYFUNCTION("""COMPUTED_VALUE"""),"Yanmar")</f>
        <v>Yanmar</v>
      </c>
      <c r="K263" s="8" t="str">
        <f ca="1">IFERROR(__xludf.DUMMYFUNCTION("""COMPUTED_VALUE"""),"-")</f>
        <v>-</v>
      </c>
      <c r="L263" s="8" t="str">
        <f ca="1">IFERROR(__xludf.DUMMYFUNCTION("""COMPUTED_VALUE"""),"To be chkd")</f>
        <v>To be chkd</v>
      </c>
      <c r="M263" s="8" t="str">
        <f ca="1">IFERROR(__xludf.DUMMYFUNCTION("""COMPUTED_VALUE"""),"CCS 11/27D")</f>
        <v>CCS 11/27D</v>
      </c>
      <c r="N263" s="8" t="str">
        <f ca="1">IFERROR(__xludf.DUMMYFUNCTION("""COMPUTED_VALUE"""),"China")</f>
        <v>China</v>
      </c>
      <c r="O263" s="8" t="str">
        <f ca="1">IFERROR(__xludf.DUMMYFUNCTION("""COMPUTED_VALUE"""),"B.offers")</f>
        <v>B.offers</v>
      </c>
    </row>
    <row r="264" spans="1:15" ht="15.75" customHeight="1" x14ac:dyDescent="0.25">
      <c r="A264" s="8" t="str">
        <f ca="1">IFERROR(__xludf.DUMMYFUNCTION("""COMPUTED_VALUE"""),"TA 11137/09")</f>
        <v>TA 11137/09</v>
      </c>
      <c r="B264" s="8" t="str">
        <f ca="1">IFERROR(__xludf.DUMMYFUNCTION("""COMPUTED_VALUE"""),"Oil/Chemical Tanker IMO 2")</f>
        <v>Oil/Chemical Tanker IMO 2</v>
      </c>
      <c r="C264" s="9">
        <f ca="1">IFERROR(__xludf.DUMMYFUNCTION("""COMPUTED_VALUE"""),11137)</f>
        <v>11137</v>
      </c>
      <c r="D264" s="8" t="str">
        <f ca="1">IFERROR(__xludf.DUMMYFUNCTION("""COMPUTED_VALUE"""),"2009-China")</f>
        <v>2009-China</v>
      </c>
      <c r="E264" s="8" t="str">
        <f ca="1">IFERROR(__xludf.DUMMYFUNCTION("""COMPUTED_VALUE"""),"132.0 x 19.80")</f>
        <v>132.0 x 19.80</v>
      </c>
      <c r="F264" s="8" t="str">
        <f ca="1">IFERROR(__xludf.DUMMYFUNCTION("""COMPUTED_VALUE"""),"10")</f>
        <v>10</v>
      </c>
      <c r="G264" s="8">
        <f ca="1">IFERROR(__xludf.DUMMYFUNCTION("""COMPUTED_VALUE"""),11338)</f>
        <v>11338</v>
      </c>
      <c r="H264" s="8" t="str">
        <f ca="1">IFERROR(__xludf.DUMMYFUNCTION("""COMPUTED_VALUE"""),"N/Y Phenolic Ep")</f>
        <v>N/Y Phenolic Ep</v>
      </c>
      <c r="I264" s="8" t="str">
        <f ca="1">IFERROR(__xludf.DUMMYFUNCTION("""COMPUTED_VALUE"""),"10 x 300")</f>
        <v>10 x 300</v>
      </c>
      <c r="J264" s="8" t="str">
        <f ca="1">IFERROR(__xludf.DUMMYFUNCTION("""COMPUTED_VALUE"""),"Yanmar")</f>
        <v>Yanmar</v>
      </c>
      <c r="K264" s="8" t="str">
        <f ca="1">IFERROR(__xludf.DUMMYFUNCTION("""COMPUTED_VALUE"""),"12.7 kn")</f>
        <v>12.7 kn</v>
      </c>
      <c r="L264" s="8" t="str">
        <f ca="1">IFERROR(__xludf.DUMMYFUNCTION("""COMPUTED_VALUE"""),"Fitted")</f>
        <v>Fitted</v>
      </c>
      <c r="M264" s="8" t="str">
        <f ca="1">IFERROR(__xludf.DUMMYFUNCTION("""COMPUTED_VALUE"""),"BV 1/29D")</f>
        <v>BV 1/29D</v>
      </c>
      <c r="N264" s="10" t="str">
        <f ca="1">IFERROR(__xludf.DUMMYFUNCTION("""COMPUTED_VALUE"""),"SE.Asia")</f>
        <v>SE.Asia</v>
      </c>
      <c r="O264" s="8" t="str">
        <f ca="1">IFERROR(__xludf.DUMMYFUNCTION("""COMPUTED_VALUE"""),"B.offers")</f>
        <v>B.offers</v>
      </c>
    </row>
    <row r="265" spans="1:15" ht="15.75" customHeight="1" x14ac:dyDescent="0.25">
      <c r="A265" s="8" t="str">
        <f ca="1">IFERROR(__xludf.DUMMYFUNCTION("""COMPUTED_VALUE"""),"TA 11134/10")</f>
        <v>TA 11134/10</v>
      </c>
      <c r="B265" s="8" t="str">
        <f ca="1">IFERROR(__xludf.DUMMYFUNCTION("""COMPUTED_VALUE"""),"Oil/Chemical Tanker")</f>
        <v>Oil/Chemical Tanker</v>
      </c>
      <c r="C265" s="9">
        <f ca="1">IFERROR(__xludf.DUMMYFUNCTION("""COMPUTED_VALUE"""),11134)</f>
        <v>11134</v>
      </c>
      <c r="D265" s="8" t="str">
        <f ca="1">IFERROR(__xludf.DUMMYFUNCTION("""COMPUTED_VALUE"""),"2010-China")</f>
        <v>2010-China</v>
      </c>
      <c r="E265" s="8" t="str">
        <f ca="1">IFERROR(__xludf.DUMMYFUNCTION("""COMPUTED_VALUE"""),"130.2 x 18.60")</f>
        <v>130.2 x 18.60</v>
      </c>
      <c r="F265" s="8" t="str">
        <f ca="1">IFERROR(__xludf.DUMMYFUNCTION("""COMPUTED_VALUE"""),"10")</f>
        <v>10</v>
      </c>
      <c r="G265" s="8">
        <f ca="1">IFERROR(__xludf.DUMMYFUNCTION("""COMPUTED_VALUE"""),11728)</f>
        <v>11728</v>
      </c>
      <c r="H265" s="8" t="str">
        <f ca="1">IFERROR(__xludf.DUMMYFUNCTION("""COMPUTED_VALUE"""),"N/Epoxy")</f>
        <v>N/Epoxy</v>
      </c>
      <c r="I265" s="8" t="str">
        <f ca="1">IFERROR(__xludf.DUMMYFUNCTION("""COMPUTED_VALUE"""),"10 x 350")</f>
        <v>10 x 350</v>
      </c>
      <c r="J265" s="8" t="str">
        <f ca="1">IFERROR(__xludf.DUMMYFUNCTION("""COMPUTED_VALUE"""),"MAN-B&amp;W")</f>
        <v>MAN-B&amp;W</v>
      </c>
      <c r="K265" s="8" t="str">
        <f ca="1">IFERROR(__xludf.DUMMYFUNCTION("""COMPUTED_VALUE"""),"-")</f>
        <v>-</v>
      </c>
      <c r="L265" s="8" t="str">
        <f ca="1">IFERROR(__xludf.DUMMYFUNCTION("""COMPUTED_VALUE"""),"Fitted")</f>
        <v>Fitted</v>
      </c>
      <c r="M265" s="8" t="str">
        <f ca="1">IFERROR(__xludf.DUMMYFUNCTION("""COMPUTED_VALUE"""),"CCS 4/25D")</f>
        <v>CCS 4/25D</v>
      </c>
      <c r="N265" s="8" t="str">
        <f ca="1">IFERROR(__xludf.DUMMYFUNCTION("""COMPUTED_VALUE"""),"Singapore")</f>
        <v>Singapore</v>
      </c>
      <c r="O265" s="8" t="str">
        <f ca="1">IFERROR(__xludf.DUMMYFUNCTION("""COMPUTED_VALUE"""),"B.offers")</f>
        <v>B.offers</v>
      </c>
    </row>
    <row r="266" spans="1:15" ht="15.75" customHeight="1" x14ac:dyDescent="0.25">
      <c r="A266" s="8" t="str">
        <f ca="1">IFERROR(__xludf.DUMMYFUNCTION("""COMPUTED_VALUE"""),"TA 10901/09")</f>
        <v>TA 10901/09</v>
      </c>
      <c r="B266" s="8" t="str">
        <f ca="1">IFERROR(__xludf.DUMMYFUNCTION("""COMPUTED_VALUE"""),"Chemical IMO 2")</f>
        <v>Chemical IMO 2</v>
      </c>
      <c r="C266" s="9">
        <f ca="1">IFERROR(__xludf.DUMMYFUNCTION("""COMPUTED_VALUE"""),10901)</f>
        <v>10901</v>
      </c>
      <c r="D266" s="8" t="str">
        <f ca="1">IFERROR(__xludf.DUMMYFUNCTION("""COMPUTED_VALUE"""),"2009-Turkey")</f>
        <v>2009-Turkey</v>
      </c>
      <c r="E266" s="8" t="str">
        <f ca="1">IFERROR(__xludf.DUMMYFUNCTION("""COMPUTED_VALUE"""),"131.8 x 18.90")</f>
        <v>131.8 x 18.90</v>
      </c>
      <c r="F266" s="8" t="str">
        <f ca="1">IFERROR(__xludf.DUMMYFUNCTION("""COMPUTED_VALUE"""),"14")</f>
        <v>14</v>
      </c>
      <c r="G266" s="8">
        <f ca="1">IFERROR(__xludf.DUMMYFUNCTION("""COMPUTED_VALUE"""),12685)</f>
        <v>12685</v>
      </c>
      <c r="H266" s="8" t="str">
        <f ca="1">IFERROR(__xludf.DUMMYFUNCTION("""COMPUTED_VALUE"""),"Y/Y Marineline")</f>
        <v>Y/Y Marineline</v>
      </c>
      <c r="I266" s="8" t="str">
        <f ca="1">IFERROR(__xludf.DUMMYFUNCTION("""COMPUTED_VALUE"""),"12 X 300")</f>
        <v>12 X 300</v>
      </c>
      <c r="J266" s="8" t="str">
        <f ca="1">IFERROR(__xludf.DUMMYFUNCTION("""COMPUTED_VALUE"""),"MAN")</f>
        <v>MAN</v>
      </c>
      <c r="K266" s="8" t="str">
        <f ca="1">IFERROR(__xludf.DUMMYFUNCTION("""COMPUTED_VALUE"""),"14.5 kn")</f>
        <v>14.5 kn</v>
      </c>
      <c r="L266" s="8" t="str">
        <f ca="1">IFERROR(__xludf.DUMMYFUNCTION("""COMPUTED_VALUE"""),"Fitted")</f>
        <v>Fitted</v>
      </c>
      <c r="M266" s="8" t="str">
        <f ca="1">IFERROR(__xludf.DUMMYFUNCTION("""COMPUTED_VALUE"""),"ABS 6/29D")</f>
        <v>ABS 6/29D</v>
      </c>
      <c r="N266" s="8" t="str">
        <f ca="1">IFERROR(__xludf.DUMMYFUNCTION("""COMPUTED_VALUE"""),"Med")</f>
        <v>Med</v>
      </c>
      <c r="O266" s="8" t="str">
        <f ca="1">IFERROR(__xludf.DUMMYFUNCTION("""COMPUTED_VALUE"""),"B.offers")</f>
        <v>B.offers</v>
      </c>
    </row>
    <row r="267" spans="1:15" ht="15.75" customHeight="1" x14ac:dyDescent="0.25">
      <c r="A267" s="8" t="str">
        <f ca="1">IFERROR(__xludf.DUMMYFUNCTION("""COMPUTED_VALUE"""),"TA 10735/08")</f>
        <v>TA 10735/08</v>
      </c>
      <c r="B267" s="8" t="str">
        <f ca="1">IFERROR(__xludf.DUMMYFUNCTION("""COMPUTED_VALUE"""),"Oil/Chemical IMO 2/Ice 1 Tk")</f>
        <v>Oil/Chemical IMO 2/Ice 1 Tk</v>
      </c>
      <c r="C267" s="9">
        <f ca="1">IFERROR(__xludf.DUMMYFUNCTION("""COMPUTED_VALUE"""),10735)</f>
        <v>10735</v>
      </c>
      <c r="D267" s="8" t="str">
        <f ca="1">IFERROR(__xludf.DUMMYFUNCTION("""COMPUTED_VALUE"""),"2008-Turkey")</f>
        <v>2008-Turkey</v>
      </c>
      <c r="E267" s="8" t="str">
        <f ca="1">IFERROR(__xludf.DUMMYFUNCTION("""COMPUTED_VALUE"""),"131.5 x 18.90")</f>
        <v>131.5 x 18.90</v>
      </c>
      <c r="F267" s="8" t="str">
        <f ca="1">IFERROR(__xludf.DUMMYFUNCTION("""COMPUTED_VALUE"""),"14")</f>
        <v>14</v>
      </c>
      <c r="G267" s="8">
        <f ca="1">IFERROR(__xludf.DUMMYFUNCTION("""COMPUTED_VALUE"""),12596)</f>
        <v>12596</v>
      </c>
      <c r="H267" s="8" t="str">
        <f ca="1">IFERROR(__xludf.DUMMYFUNCTION("""COMPUTED_VALUE"""),"Y stst/Y Marinel.")</f>
        <v>Y stst/Y Marinel.</v>
      </c>
      <c r="I267" s="8" t="str">
        <f ca="1">IFERROR(__xludf.DUMMYFUNCTION("""COMPUTED_VALUE"""),"12 x 375 + 2x100")</f>
        <v>12 x 375 + 2x100</v>
      </c>
      <c r="J267" s="8" t="str">
        <f ca="1">IFERROR(__xludf.DUMMYFUNCTION("""COMPUTED_VALUE"""),"MAK")</f>
        <v>MAK</v>
      </c>
      <c r="K267" s="8" t="str">
        <f ca="1">IFERROR(__xludf.DUMMYFUNCTION("""COMPUTED_VALUE"""),"13.6k/16.5t IFO")</f>
        <v>13.6k/16.5t IFO</v>
      </c>
      <c r="L267" s="8" t="str">
        <f ca="1">IFERROR(__xludf.DUMMYFUNCTION("""COMPUTED_VALUE"""),"To be chkd")</f>
        <v>To be chkd</v>
      </c>
      <c r="M267" s="8" t="str">
        <f ca="1">IFERROR(__xludf.DUMMYFUNCTION("""COMPUTED_VALUE"""),"BV 10/26D")</f>
        <v>BV 10/26D</v>
      </c>
      <c r="N267" s="10" t="str">
        <f ca="1">IFERROR(__xludf.DUMMYFUNCTION("""COMPUTED_VALUE"""),"SE.Asia")</f>
        <v>SE.Asia</v>
      </c>
      <c r="O267" s="8" t="str">
        <f ca="1">IFERROR(__xludf.DUMMYFUNCTION("""COMPUTED_VALUE"""),"B.offers")</f>
        <v>B.offers</v>
      </c>
    </row>
    <row r="268" spans="1:15" ht="15.75" customHeight="1" x14ac:dyDescent="0.25">
      <c r="A268" s="8" t="str">
        <f ca="1">IFERROR(__xludf.DUMMYFUNCTION("""COMPUTED_VALUE"""),"TA 10725/07")</f>
        <v>TA 10725/07</v>
      </c>
      <c r="B268" s="8" t="str">
        <f ca="1">IFERROR(__xludf.DUMMYFUNCTION("""COMPUTED_VALUE"""),"Oil/Chemical Tanker")</f>
        <v>Oil/Chemical Tanker</v>
      </c>
      <c r="C268" s="9">
        <f ca="1">IFERROR(__xludf.DUMMYFUNCTION("""COMPUTED_VALUE"""),10725)</f>
        <v>10725</v>
      </c>
      <c r="D268" s="8" t="str">
        <f ca="1">IFERROR(__xludf.DUMMYFUNCTION("""COMPUTED_VALUE"""),"2007-Korea")</f>
        <v>2007-Korea</v>
      </c>
      <c r="E268" s="8" t="str">
        <f ca="1">IFERROR(__xludf.DUMMYFUNCTION("""COMPUTED_VALUE"""),"121.5 x 19.20")</f>
        <v>121.5 x 19.20</v>
      </c>
      <c r="F268" s="8" t="str">
        <f ca="1">IFERROR(__xludf.DUMMYFUNCTION("""COMPUTED_VALUE"""),"12")</f>
        <v>12</v>
      </c>
      <c r="G268" s="8">
        <f ca="1">IFERROR(__xludf.DUMMYFUNCTION("""COMPUTED_VALUE"""),11353)</f>
        <v>11353</v>
      </c>
      <c r="H268" s="8" t="str">
        <f ca="1">IFERROR(__xludf.DUMMYFUNCTION("""COMPUTED_VALUE"""),"Y/Y Phen.Epoxy")</f>
        <v>Y/Y Phen.Epoxy</v>
      </c>
      <c r="I268" s="8" t="str">
        <f ca="1">IFERROR(__xludf.DUMMYFUNCTION("""COMPUTED_VALUE"""),"10 x 300 Framo")</f>
        <v>10 x 300 Framo</v>
      </c>
      <c r="J268" s="8" t="str">
        <f ca="1">IFERROR(__xludf.DUMMYFUNCTION("""COMPUTED_VALUE"""),"MAN-B&amp;W")</f>
        <v>MAN-B&amp;W</v>
      </c>
      <c r="K268" s="8" t="str">
        <f ca="1">IFERROR(__xludf.DUMMYFUNCTION("""COMPUTED_VALUE"""),"-")</f>
        <v>-</v>
      </c>
      <c r="L268" s="8" t="str">
        <f ca="1">IFERROR(__xludf.DUMMYFUNCTION("""COMPUTED_VALUE"""),"To be chkd")</f>
        <v>To be chkd</v>
      </c>
      <c r="M268" s="8" t="str">
        <f ca="1">IFERROR(__xludf.DUMMYFUNCTION("""COMPUTED_VALUE"""),"NK 2.27D")</f>
        <v>NK 2.27D</v>
      </c>
      <c r="N268" s="8" t="str">
        <f ca="1">IFERROR(__xludf.DUMMYFUNCTION("""COMPUTED_VALUE"""),"Lome W.Afr")</f>
        <v>Lome W.Afr</v>
      </c>
      <c r="O268" s="8" t="str">
        <f ca="1">IFERROR(__xludf.DUMMYFUNCTION("""COMPUTED_VALUE"""),"8.9 m")</f>
        <v>8.9 m</v>
      </c>
    </row>
    <row r="269" spans="1:15" ht="15.75" customHeight="1" x14ac:dyDescent="0.25">
      <c r="A269" s="8" t="str">
        <f ca="1">IFERROR(__xludf.DUMMYFUNCTION("""COMPUTED_VALUE"""),"TA 10307/98")</f>
        <v>TA 10307/98</v>
      </c>
      <c r="B269" s="8" t="str">
        <f ca="1">IFERROR(__xludf.DUMMYFUNCTION("""COMPUTED_VALUE"""),"St.St. Chemical IMO 2/3 Tanker")</f>
        <v>St.St. Chemical IMO 2/3 Tanker</v>
      </c>
      <c r="C269" s="9">
        <f ca="1">IFERROR(__xludf.DUMMYFUNCTION("""COMPUTED_VALUE"""),10307)</f>
        <v>10307</v>
      </c>
      <c r="D269" s="8" t="str">
        <f ca="1">IFERROR(__xludf.DUMMYFUNCTION("""COMPUTED_VALUE"""),"1998-Japan")</f>
        <v>1998-Japan</v>
      </c>
      <c r="E269" s="8" t="str">
        <f ca="1">IFERROR(__xludf.DUMMYFUNCTION("""COMPUTED_VALUE"""),"125.0 x 18.80")</f>
        <v>125.0 x 18.80</v>
      </c>
      <c r="F269" s="8"/>
      <c r="G269" s="8"/>
      <c r="H269" s="8" t="str">
        <f ca="1">IFERROR(__xludf.DUMMYFUNCTION("""COMPUTED_VALUE"""),"Y stst/Y stst")</f>
        <v>Y stst/Y stst</v>
      </c>
      <c r="I269" s="8" t="str">
        <f ca="1">IFERROR(__xludf.DUMMYFUNCTION("""COMPUTED_VALUE"""),"12 x 170+4 x 260+4x300")</f>
        <v>12 x 170+4 x 260+4x300</v>
      </c>
      <c r="J269" s="8" t="str">
        <f ca="1">IFERROR(__xludf.DUMMYFUNCTION("""COMPUTED_VALUE"""),"B&amp;W")</f>
        <v>B&amp;W</v>
      </c>
      <c r="K269" s="8"/>
      <c r="L269" s="8" t="str">
        <f ca="1">IFERROR(__xludf.DUMMYFUNCTION("""COMPUTED_VALUE"""),"To be chkd")</f>
        <v>To be chkd</v>
      </c>
      <c r="M269" s="8" t="str">
        <f ca="1">IFERROR(__xludf.DUMMYFUNCTION("""COMPUTED_VALUE"""),"BV 9/28D")</f>
        <v>BV 9/28D</v>
      </c>
      <c r="N269" s="8" t="str">
        <f ca="1">IFERROR(__xludf.DUMMYFUNCTION("""COMPUTED_VALUE"""),"Med")</f>
        <v>Med</v>
      </c>
      <c r="O269" s="8" t="str">
        <f ca="1">IFERROR(__xludf.DUMMYFUNCTION("""COMPUTED_VALUE"""),"B.offers")</f>
        <v>B.offers</v>
      </c>
    </row>
    <row r="270" spans="1:15" ht="15.75" customHeight="1" x14ac:dyDescent="0.25">
      <c r="A270" s="8" t="str">
        <f ca="1">IFERROR(__xludf.DUMMYFUNCTION("""COMPUTED_VALUE"""),"TA 10224/18")</f>
        <v>TA 10224/18</v>
      </c>
      <c r="B270" s="8" t="str">
        <f ca="1">IFERROR(__xludf.DUMMYFUNCTION("""COMPUTED_VALUE"""),"CPP Ice II Tanker")</f>
        <v>CPP Ice II Tanker</v>
      </c>
      <c r="C270" s="9">
        <f ca="1">IFERROR(__xludf.DUMMYFUNCTION("""COMPUTED_VALUE"""),10224)</f>
        <v>10224</v>
      </c>
      <c r="D270" s="8" t="str">
        <f ca="1">IFERROR(__xludf.DUMMYFUNCTION("""COMPUTED_VALUE"""),"2018-China")</f>
        <v>2018-China</v>
      </c>
      <c r="E270" s="8" t="str">
        <f ca="1">IFERROR(__xludf.DUMMYFUNCTION("""COMPUTED_VALUE"""),"115.36 x 19.00")</f>
        <v>115.36 x 19.00</v>
      </c>
      <c r="F270" s="8" t="str">
        <f ca="1">IFERROR(__xludf.DUMMYFUNCTION("""COMPUTED_VALUE"""),"8")</f>
        <v>8</v>
      </c>
      <c r="G270" s="8">
        <f ca="1">IFERROR(__xludf.DUMMYFUNCTION("""COMPUTED_VALUE"""),10687)</f>
        <v>10687</v>
      </c>
      <c r="H270" s="8" t="str">
        <f ca="1">IFERROR(__xludf.DUMMYFUNCTION("""COMPUTED_VALUE"""),"N/Y Epoxy")</f>
        <v>N/Y Epoxy</v>
      </c>
      <c r="I270" s="8" t="str">
        <f ca="1">IFERROR(__xludf.DUMMYFUNCTION("""COMPUTED_VALUE"""),"2 x 700")</f>
        <v>2 x 700</v>
      </c>
      <c r="J270" s="8" t="str">
        <f ca="1">IFERROR(__xludf.DUMMYFUNCTION("""COMPUTED_VALUE"""),"MAN")</f>
        <v>MAN</v>
      </c>
      <c r="K270" s="8" t="str">
        <f ca="1">IFERROR(__xludf.DUMMYFUNCTION("""COMPUTED_VALUE"""),"-")</f>
        <v>-</v>
      </c>
      <c r="L270" s="8" t="str">
        <f ca="1">IFERROR(__xludf.DUMMYFUNCTION("""COMPUTED_VALUE"""),"To be chkd")</f>
        <v>To be chkd</v>
      </c>
      <c r="M270" s="8" t="str">
        <f ca="1">IFERROR(__xludf.DUMMYFUNCTION("""COMPUTED_VALUE"""),"CCS 9/29")</f>
        <v>CCS 9/29</v>
      </c>
      <c r="N270" s="8" t="str">
        <f ca="1">IFERROR(__xludf.DUMMYFUNCTION("""COMPUTED_VALUE"""),"China")</f>
        <v>China</v>
      </c>
      <c r="O270" s="8" t="str">
        <f ca="1">IFERROR(__xludf.DUMMYFUNCTION("""COMPUTED_VALUE"""),"B.offers")</f>
        <v>B.offers</v>
      </c>
    </row>
    <row r="271" spans="1:15" ht="15.75" customHeight="1" x14ac:dyDescent="0.25">
      <c r="A271" s="8" t="str">
        <f ca="1">IFERROR(__xludf.DUMMYFUNCTION("""COMPUTED_VALUE"""),"TA 9600/25 NB")</f>
        <v>TA 9600/25 NB</v>
      </c>
      <c r="B271" s="8" t="str">
        <f ca="1">IFERROR(__xludf.DUMMYFUNCTION("""COMPUTED_VALUE"""),"Asphalt/Bitumen Tanker")</f>
        <v>Asphalt/Bitumen Tanker</v>
      </c>
      <c r="C271" s="9">
        <f ca="1">IFERROR(__xludf.DUMMYFUNCTION("""COMPUTED_VALUE"""),9600)</f>
        <v>9600</v>
      </c>
      <c r="D271" s="8" t="str">
        <f ca="1">IFERROR(__xludf.DUMMYFUNCTION("""COMPUTED_VALUE"""),"2025-China")</f>
        <v>2025-China</v>
      </c>
      <c r="E271" s="8" t="str">
        <f ca="1">IFERROR(__xludf.DUMMYFUNCTION("""COMPUTED_VALUE"""),"119.90X 20.60")</f>
        <v>119.90X 20.60</v>
      </c>
      <c r="F271" s="8"/>
      <c r="G271" s="8">
        <f ca="1">IFERROR(__xludf.DUMMYFUNCTION("""COMPUTED_VALUE"""),9130)</f>
        <v>9130</v>
      </c>
      <c r="H271" s="8" t="str">
        <f ca="1">IFERROR(__xludf.DUMMYFUNCTION("""COMPUTED_VALUE"""),"?")</f>
        <v>?</v>
      </c>
      <c r="I271" s="8" t="str">
        <f ca="1">IFERROR(__xludf.DUMMYFUNCTION("""COMPUTED_VALUE"""),"?")</f>
        <v>?</v>
      </c>
      <c r="J271" s="8" t="str">
        <f ca="1">IFERROR(__xludf.DUMMYFUNCTION("""COMPUTED_VALUE"""),"6UEC33LSE")</f>
        <v>6UEC33LSE</v>
      </c>
      <c r="K271" s="8" t="str">
        <f ca="1">IFERROR(__xludf.DUMMYFUNCTION("""COMPUTED_VALUE"""),"13.2 kn")</f>
        <v>13.2 kn</v>
      </c>
      <c r="L271" s="8" t="str">
        <f ca="1">IFERROR(__xludf.DUMMYFUNCTION("""COMPUTED_VALUE"""),"To be chkd")</f>
        <v>To be chkd</v>
      </c>
      <c r="M271" s="8" t="str">
        <f ca="1">IFERROR(__xludf.DUMMYFUNCTION("""COMPUTED_VALUE"""),"CCS Class")</f>
        <v>CCS Class</v>
      </c>
      <c r="N271" s="8" t="str">
        <f ca="1">IFERROR(__xludf.DUMMYFUNCTION("""COMPUTED_VALUE"""),"China Newbld")</f>
        <v>China Newbld</v>
      </c>
      <c r="O271" s="8" t="str">
        <f ca="1">IFERROR(__xludf.DUMMYFUNCTION("""COMPUTED_VALUE"""),"21.0 m")</f>
        <v>21.0 m</v>
      </c>
    </row>
    <row r="272" spans="1:15" ht="15.75" customHeight="1" x14ac:dyDescent="0.25">
      <c r="A272" s="8" t="str">
        <f ca="1">IFERROR(__xludf.DUMMYFUNCTION("""COMPUTED_VALUE"""),"TA 9596/08")</f>
        <v>TA 9596/08</v>
      </c>
      <c r="B272" s="8" t="str">
        <f ca="1">IFERROR(__xludf.DUMMYFUNCTION("""COMPUTED_VALUE"""),"Bunkering Tanker")</f>
        <v>Bunkering Tanker</v>
      </c>
      <c r="C272" s="9">
        <f ca="1">IFERROR(__xludf.DUMMYFUNCTION("""COMPUTED_VALUE"""),9596)</f>
        <v>9596</v>
      </c>
      <c r="D272" s="8" t="str">
        <f ca="1">IFERROR(__xludf.DUMMYFUNCTION("""COMPUTED_VALUE"""),"2008-China")</f>
        <v>2008-China</v>
      </c>
      <c r="E272" s="8" t="str">
        <f ca="1">IFERROR(__xludf.DUMMYFUNCTION("""COMPUTED_VALUE"""),"122.2 x 19.07")</f>
        <v>122.2 x 19.07</v>
      </c>
      <c r="F272" s="8" t="str">
        <f ca="1">IFERROR(__xludf.DUMMYFUNCTION("""COMPUTED_VALUE"""),"12")</f>
        <v>12</v>
      </c>
      <c r="G272" s="8">
        <f ca="1">IFERROR(__xludf.DUMMYFUNCTION("""COMPUTED_VALUE"""),10860)</f>
        <v>10860</v>
      </c>
      <c r="H272" s="8" t="str">
        <f ca="1">IFERROR(__xludf.DUMMYFUNCTION("""COMPUTED_VALUE"""),"Y stst/Y Epoxy")</f>
        <v>Y stst/Y Epoxy</v>
      </c>
      <c r="I272" s="8" t="str">
        <f ca="1">IFERROR(__xludf.DUMMYFUNCTION("""COMPUTED_VALUE"""),"4 x 500")</f>
        <v>4 x 500</v>
      </c>
      <c r="J272" s="8" t="str">
        <f ca="1">IFERROR(__xludf.DUMMYFUNCTION("""COMPUTED_VALUE"""),"MAK")</f>
        <v>MAK</v>
      </c>
      <c r="K272" s="8" t="str">
        <f ca="1">IFERROR(__xludf.DUMMYFUNCTION("""COMPUTED_VALUE"""),"-")</f>
        <v>-</v>
      </c>
      <c r="L272" s="8" t="str">
        <f ca="1">IFERROR(__xludf.DUMMYFUNCTION("""COMPUTED_VALUE"""),"To be chkd")</f>
        <v>To be chkd</v>
      </c>
      <c r="M272" s="8" t="str">
        <f ca="1">IFERROR(__xludf.DUMMYFUNCTION("""COMPUTED_VALUE"""),"RI 2.28D")</f>
        <v>RI 2.28D</v>
      </c>
      <c r="N272" s="8" t="str">
        <f ca="1">IFERROR(__xludf.DUMMYFUNCTION("""COMPUTED_VALUE"""),"Mauritius")</f>
        <v>Mauritius</v>
      </c>
      <c r="O272" s="8" t="str">
        <f ca="1">IFERROR(__xludf.DUMMYFUNCTION("""COMPUTED_VALUE"""),"7.0 m")</f>
        <v>7.0 m</v>
      </c>
    </row>
    <row r="273" spans="1:15" ht="15.75" customHeight="1" x14ac:dyDescent="0.25">
      <c r="A273" s="8" t="str">
        <f ca="1">IFERROR(__xludf.DUMMYFUNCTION("""COMPUTED_VALUE"""),"TA 9466/06")</f>
        <v>TA 9466/06</v>
      </c>
      <c r="B273" s="8" t="str">
        <f ca="1">IFERROR(__xludf.DUMMYFUNCTION("""COMPUTED_VALUE"""),"Twinscrew Bunker")</f>
        <v>Twinscrew Bunker</v>
      </c>
      <c r="C273" s="9">
        <f ca="1">IFERROR(__xludf.DUMMYFUNCTION("""COMPUTED_VALUE"""),9466)</f>
        <v>9466</v>
      </c>
      <c r="D273" s="8" t="str">
        <f ca="1">IFERROR(__xludf.DUMMYFUNCTION("""COMPUTED_VALUE"""),"2006-China")</f>
        <v>2006-China</v>
      </c>
      <c r="E273" s="8" t="str">
        <f ca="1">IFERROR(__xludf.DUMMYFUNCTION("""COMPUTED_VALUE"""),"110.0 x 18.62")</f>
        <v>110.0 x 18.62</v>
      </c>
      <c r="F273" s="8" t="str">
        <f ca="1">IFERROR(__xludf.DUMMYFUNCTION("""COMPUTED_VALUE"""),"12")</f>
        <v>12</v>
      </c>
      <c r="G273" s="8">
        <f ca="1">IFERROR(__xludf.DUMMYFUNCTION("""COMPUTED_VALUE"""),10088)</f>
        <v>10088</v>
      </c>
      <c r="H273" s="8" t="str">
        <f ca="1">IFERROR(__xludf.DUMMYFUNCTION("""COMPUTED_VALUE"""),"?/Y Epoxy")</f>
        <v>?/Y Epoxy</v>
      </c>
      <c r="I273" s="8">
        <f ca="1">IFERROR(__xludf.DUMMYFUNCTION("""COMPUTED_VALUE"""),2)</f>
        <v>2</v>
      </c>
      <c r="J273" s="8" t="str">
        <f ca="1">IFERROR(__xludf.DUMMYFUNCTION("""COMPUTED_VALUE"""),"2 Hanshin")</f>
        <v>2 Hanshin</v>
      </c>
      <c r="K273" s="8" t="str">
        <f ca="1">IFERROR(__xludf.DUMMYFUNCTION("""COMPUTED_VALUE"""),"12.7 kn")</f>
        <v>12.7 kn</v>
      </c>
      <c r="L273" s="8" t="str">
        <f ca="1">IFERROR(__xludf.DUMMYFUNCTION("""COMPUTED_VALUE"""),"To be chkd")</f>
        <v>To be chkd</v>
      </c>
      <c r="M273" s="8" t="str">
        <f ca="1">IFERROR(__xludf.DUMMYFUNCTION("""COMPUTED_VALUE"""),"NK 1/26D")</f>
        <v>NK 1/26D</v>
      </c>
      <c r="N273" s="8" t="str">
        <f ca="1">IFERROR(__xludf.DUMMYFUNCTION("""COMPUTED_VALUE"""),"Not for sale")</f>
        <v>Not for sale</v>
      </c>
      <c r="O273" s="8" t="str">
        <f ca="1">IFERROR(__xludf.DUMMYFUNCTION("""COMPUTED_VALUE"""),"U$ 9.5 m")</f>
        <v>U$ 9.5 m</v>
      </c>
    </row>
    <row r="274" spans="1:15" ht="15.75" customHeight="1" x14ac:dyDescent="0.25">
      <c r="A274" s="8" t="str">
        <f ca="1">IFERROR(__xludf.DUMMYFUNCTION("""COMPUTED_VALUE"""),"TA 9091/21")</f>
        <v>TA 9091/21</v>
      </c>
      <c r="B274" s="8" t="str">
        <f ca="1">IFERROR(__xludf.DUMMYFUNCTION("""COMPUTED_VALUE"""),"Modern Bunkering Tanker")</f>
        <v>Modern Bunkering Tanker</v>
      </c>
      <c r="C274" s="9">
        <f ca="1">IFERROR(__xludf.DUMMYFUNCTION("""COMPUTED_VALUE"""),9091)</f>
        <v>9091</v>
      </c>
      <c r="D274" s="8" t="str">
        <f ca="1">IFERROR(__xludf.DUMMYFUNCTION("""COMPUTED_VALUE"""),"2021-China")</f>
        <v>2021-China</v>
      </c>
      <c r="E274" s="8" t="str">
        <f ca="1">IFERROR(__xludf.DUMMYFUNCTION("""COMPUTED_VALUE"""),"117.60 x 19.00")</f>
        <v>117.60 x 19.00</v>
      </c>
      <c r="F274" s="8" t="str">
        <f ca="1">IFERROR(__xludf.DUMMYFUNCTION("""COMPUTED_VALUE"""),"12")</f>
        <v>12</v>
      </c>
      <c r="G274" s="8">
        <f ca="1">IFERROR(__xludf.DUMMYFUNCTION("""COMPUTED_VALUE"""),9500)</f>
        <v>9500</v>
      </c>
      <c r="H274" s="8" t="str">
        <f ca="1">IFERROR(__xludf.DUMMYFUNCTION("""COMPUTED_VALUE"""),"N/Y Marineline")</f>
        <v>N/Y Marineline</v>
      </c>
      <c r="I274" s="8" t="str">
        <f ca="1">IFERROR(__xludf.DUMMYFUNCTION("""COMPUTED_VALUE"""),"10 x 300")</f>
        <v>10 x 300</v>
      </c>
      <c r="J274" s="8" t="str">
        <f ca="1">IFERROR(__xludf.DUMMYFUNCTION("""COMPUTED_VALUE"""),"MAK")</f>
        <v>MAK</v>
      </c>
      <c r="K274" s="8"/>
      <c r="L274" s="8" t="str">
        <f ca="1">IFERROR(__xludf.DUMMYFUNCTION("""COMPUTED_VALUE"""),"Fitted")</f>
        <v>Fitted</v>
      </c>
      <c r="M274" s="8" t="str">
        <f ca="1">IFERROR(__xludf.DUMMYFUNCTION("""COMPUTED_VALUE"""),"NK 7/26D")</f>
        <v>NK 7/26D</v>
      </c>
      <c r="N274" s="8" t="str">
        <f ca="1">IFERROR(__xludf.DUMMYFUNCTION("""COMPUTED_VALUE"""),"Gibraltar")</f>
        <v>Gibraltar</v>
      </c>
      <c r="O274" s="8" t="str">
        <f ca="1">IFERROR(__xludf.DUMMYFUNCTION("""COMPUTED_VALUE"""),"21-20 m")</f>
        <v>21-20 m</v>
      </c>
    </row>
    <row r="275" spans="1:15" ht="15.75" customHeight="1" x14ac:dyDescent="0.25">
      <c r="A275" s="8" t="str">
        <f ca="1">IFERROR(__xludf.DUMMYFUNCTION("""COMPUTED_VALUE"""),"TA 9045/07")</f>
        <v>TA 9045/07</v>
      </c>
      <c r="B275" s="8" t="str">
        <f ca="1">IFERROR(__xludf.DUMMYFUNCTION("""COMPUTED_VALUE"""),"DPP  Oil Prod /ChemicalTanker")</f>
        <v>DPP  Oil Prod /ChemicalTanker</v>
      </c>
      <c r="C275" s="9">
        <f ca="1">IFERROR(__xludf.DUMMYFUNCTION("""COMPUTED_VALUE"""),9045)</f>
        <v>9045</v>
      </c>
      <c r="D275" s="8" t="str">
        <f ca="1">IFERROR(__xludf.DUMMYFUNCTION("""COMPUTED_VALUE"""),"2007-China")</f>
        <v>2007-China</v>
      </c>
      <c r="E275" s="8" t="str">
        <f ca="1">IFERROR(__xludf.DUMMYFUNCTION("""COMPUTED_VALUE"""),"110.0 x 18.62")</f>
        <v>110.0 x 18.62</v>
      </c>
      <c r="F275" s="8" t="str">
        <f ca="1">IFERROR(__xludf.DUMMYFUNCTION("""COMPUTED_VALUE"""),"14")</f>
        <v>14</v>
      </c>
      <c r="G275" s="8">
        <f ca="1">IFERROR(__xludf.DUMMYFUNCTION("""COMPUTED_VALUE"""),9754)</f>
        <v>9754</v>
      </c>
      <c r="H275" s="8" t="str">
        <f ca="1">IFERROR(__xludf.DUMMYFUNCTION("""COMPUTED_VALUE"""),"Y stst/Y Epoxy")</f>
        <v>Y stst/Y Epoxy</v>
      </c>
      <c r="I275" s="8">
        <f ca="1">IFERROR(__xludf.DUMMYFUNCTION("""COMPUTED_VALUE"""),2)</f>
        <v>2</v>
      </c>
      <c r="J275" s="8" t="str">
        <f ca="1">IFERROR(__xludf.DUMMYFUNCTION("""COMPUTED_VALUE"""),"Daihatsu")</f>
        <v>Daihatsu</v>
      </c>
      <c r="K275" s="8" t="str">
        <f ca="1">IFERROR(__xludf.DUMMYFUNCTION("""COMPUTED_VALUE"""),"12 kn")</f>
        <v>12 kn</v>
      </c>
      <c r="L275" s="8" t="str">
        <f ca="1">IFERROR(__xludf.DUMMYFUNCTION("""COMPUTED_VALUE"""),"To be chkd")</f>
        <v>To be chkd</v>
      </c>
      <c r="M275" s="8" t="str">
        <f ca="1">IFERROR(__xludf.DUMMYFUNCTION("""COMPUTED_VALUE"""),"NV 12/27D")</f>
        <v>NV 12/27D</v>
      </c>
      <c r="N275" s="8" t="str">
        <f ca="1">IFERROR(__xludf.DUMMYFUNCTION("""COMPUTED_VALUE"""),"AG/UAE")</f>
        <v>AG/UAE</v>
      </c>
      <c r="O275" s="8" t="str">
        <f ca="1">IFERROR(__xludf.DUMMYFUNCTION("""COMPUTED_VALUE"""),"B.offers")</f>
        <v>B.offers</v>
      </c>
    </row>
    <row r="276" spans="1:15" ht="15.75" customHeight="1" x14ac:dyDescent="0.25">
      <c r="A276" s="8" t="str">
        <f ca="1">IFERROR(__xludf.DUMMYFUNCTION("""COMPUTED_VALUE"""),"TA 8951/09")</f>
        <v>TA 8951/09</v>
      </c>
      <c r="B276" s="8" t="str">
        <f ca="1">IFERROR(__xludf.DUMMYFUNCTION("""COMPUTED_VALUE"""),"Oil Tanker")</f>
        <v>Oil Tanker</v>
      </c>
      <c r="C276" s="9">
        <f ca="1">IFERROR(__xludf.DUMMYFUNCTION("""COMPUTED_VALUE"""),8951)</f>
        <v>8951</v>
      </c>
      <c r="D276" s="8" t="str">
        <f ca="1">IFERROR(__xludf.DUMMYFUNCTION("""COMPUTED_VALUE"""),"2009-China")</f>
        <v>2009-China</v>
      </c>
      <c r="E276" s="8" t="str">
        <f ca="1">IFERROR(__xludf.DUMMYFUNCTION("""COMPUTED_VALUE"""),"116.0 x 19.00")</f>
        <v>116.0 x 19.00</v>
      </c>
      <c r="F276" s="8" t="str">
        <f ca="1">IFERROR(__xludf.DUMMYFUNCTION("""COMPUTED_VALUE"""),"8")</f>
        <v>8</v>
      </c>
      <c r="G276" s="8">
        <f ca="1">IFERROR(__xludf.DUMMYFUNCTION("""COMPUTED_VALUE"""),9913)</f>
        <v>9913</v>
      </c>
      <c r="H276" s="8" t="str">
        <f ca="1">IFERROR(__xludf.DUMMYFUNCTION("""COMPUTED_VALUE"""),"Y stst/Y Epoxy")</f>
        <v>Y stst/Y Epoxy</v>
      </c>
      <c r="I276" s="8" t="str">
        <f ca="1">IFERROR(__xludf.DUMMYFUNCTION("""COMPUTED_VALUE"""),"2 x 500 + 1 x 300")</f>
        <v>2 x 500 + 1 x 300</v>
      </c>
      <c r="J276" s="8" t="str">
        <f ca="1">IFERROR(__xludf.DUMMYFUNCTION("""COMPUTED_VALUE"""),"Pielstick")</f>
        <v>Pielstick</v>
      </c>
      <c r="K276" s="8" t="str">
        <f ca="1">IFERROR(__xludf.DUMMYFUNCTION("""COMPUTED_VALUE"""),"-")</f>
        <v>-</v>
      </c>
      <c r="L276" s="8" t="str">
        <f ca="1">IFERROR(__xludf.DUMMYFUNCTION("""COMPUTED_VALUE"""),"Fitted")</f>
        <v>Fitted</v>
      </c>
      <c r="M276" s="8" t="str">
        <f ca="1">IFERROR(__xludf.DUMMYFUNCTION("""COMPUTED_VALUE"""),"CCS 1/29D")</f>
        <v>CCS 1/29D</v>
      </c>
      <c r="N276" s="8" t="str">
        <f ca="1">IFERROR(__xludf.DUMMYFUNCTION("""COMPUTED_VALUE"""),"AG/UAE")</f>
        <v>AG/UAE</v>
      </c>
      <c r="O276" s="8" t="str">
        <f ca="1">IFERROR(__xludf.DUMMYFUNCTION("""COMPUTED_VALUE"""),"B.offers")</f>
        <v>B.offers</v>
      </c>
    </row>
    <row r="277" spans="1:15" ht="15.75" customHeight="1" x14ac:dyDescent="0.25">
      <c r="A277" s="8" t="str">
        <f ca="1">IFERROR(__xludf.DUMMYFUNCTION("""COMPUTED_VALUE"""),"TA 8947/09")</f>
        <v>TA 8947/09</v>
      </c>
      <c r="B277" s="8" t="str">
        <f ca="1">IFERROR(__xludf.DUMMYFUNCTION("""COMPUTED_VALUE"""),"Chemical Tanker")</f>
        <v>Chemical Tanker</v>
      </c>
      <c r="C277" s="9">
        <f ca="1">IFERROR(__xludf.DUMMYFUNCTION("""COMPUTED_VALUE"""),8947)</f>
        <v>8947</v>
      </c>
      <c r="D277" s="8" t="str">
        <f ca="1">IFERROR(__xludf.DUMMYFUNCTION("""COMPUTED_VALUE"""),"2009-Korea")</f>
        <v>2009-Korea</v>
      </c>
      <c r="E277" s="8" t="str">
        <f ca="1">IFERROR(__xludf.DUMMYFUNCTION("""COMPUTED_VALUE"""),"115.6 x 18.80")</f>
        <v>115.6 x 18.80</v>
      </c>
      <c r="F277" s="8" t="str">
        <f ca="1">IFERROR(__xludf.DUMMYFUNCTION("""COMPUTED_VALUE"""),"12")</f>
        <v>12</v>
      </c>
      <c r="G277" s="8">
        <f ca="1">IFERROR(__xludf.DUMMYFUNCTION("""COMPUTED_VALUE"""),9948)</f>
        <v>9948</v>
      </c>
      <c r="H277" s="8" t="str">
        <f ca="1">IFERROR(__xludf.DUMMYFUNCTION("""COMPUTED_VALUE"""),"Y/Y Zinc Coated")</f>
        <v>Y/Y Zinc Coated</v>
      </c>
      <c r="I277" s="8" t="str">
        <f ca="1">IFERROR(__xludf.DUMMYFUNCTION("""COMPUTED_VALUE"""),"12 x 200 + 2 x 100 subm")</f>
        <v>12 x 200 + 2 x 100 subm</v>
      </c>
      <c r="J277" s="8" t="str">
        <f ca="1">IFERROR(__xludf.DUMMYFUNCTION("""COMPUTED_VALUE"""),"STX 6l35MC")</f>
        <v>STX 6l35MC</v>
      </c>
      <c r="K277" s="8" t="str">
        <f ca="1">IFERROR(__xludf.DUMMYFUNCTION("""COMPUTED_VALUE"""),"-")</f>
        <v>-</v>
      </c>
      <c r="L277" s="8" t="str">
        <f ca="1">IFERROR(__xludf.DUMMYFUNCTION("""COMPUTED_VALUE"""),"Fitted")</f>
        <v>Fitted</v>
      </c>
      <c r="M277" s="8" t="str">
        <f ca="1">IFERROR(__xludf.DUMMYFUNCTION("""COMPUTED_VALUE"""),"KR Class")</f>
        <v>KR Class</v>
      </c>
      <c r="N277" s="8" t="str">
        <f ca="1">IFERROR(__xludf.DUMMYFUNCTION("""COMPUTED_VALUE"""),"Korea-China")</f>
        <v>Korea-China</v>
      </c>
      <c r="O277" s="8" t="str">
        <f ca="1">IFERROR(__xludf.DUMMYFUNCTION("""COMPUTED_VALUE"""),"B.offers")</f>
        <v>B.offers</v>
      </c>
    </row>
    <row r="278" spans="1:15" ht="15.75" customHeight="1" x14ac:dyDescent="0.25">
      <c r="A278" s="8" t="str">
        <f ca="1">IFERROR(__xludf.DUMMYFUNCTION("""COMPUTED_VALUE"""),"TA 8839/08")</f>
        <v>TA 8839/08</v>
      </c>
      <c r="B278" s="8" t="str">
        <f ca="1">IFERROR(__xludf.DUMMYFUNCTION("""COMPUTED_VALUE"""),"Products Tanker")</f>
        <v>Products Tanker</v>
      </c>
      <c r="C278" s="9">
        <f ca="1">IFERROR(__xludf.DUMMYFUNCTION("""COMPUTED_VALUE"""),8839)</f>
        <v>8839</v>
      </c>
      <c r="D278" s="8" t="str">
        <f ca="1">IFERROR(__xludf.DUMMYFUNCTION("""COMPUTED_VALUE"""),"2008-China")</f>
        <v>2008-China</v>
      </c>
      <c r="E278" s="8" t="str">
        <f ca="1">IFERROR(__xludf.DUMMYFUNCTION("""COMPUTED_VALUE"""),"110.00 x 18.60")</f>
        <v>110.00 x 18.60</v>
      </c>
      <c r="F278" s="8" t="str">
        <f ca="1">IFERROR(__xludf.DUMMYFUNCTION("""COMPUTED_VALUE"""),"12")</f>
        <v>12</v>
      </c>
      <c r="G278" s="8">
        <f ca="1">IFERROR(__xludf.DUMMYFUNCTION("""COMPUTED_VALUE"""),9524)</f>
        <v>9524</v>
      </c>
      <c r="H278" s="8" t="str">
        <f ca="1">IFERROR(__xludf.DUMMYFUNCTION("""COMPUTED_VALUE"""),"Y / Y Epoxy")</f>
        <v>Y / Y Epoxy</v>
      </c>
      <c r="I278" s="8" t="str">
        <f ca="1">IFERROR(__xludf.DUMMYFUNCTION("""COMPUTED_VALUE"""),"3 x 750")</f>
        <v>3 x 750</v>
      </c>
      <c r="J278" s="8" t="str">
        <f ca="1">IFERROR(__xludf.DUMMYFUNCTION("""COMPUTED_VALUE"""),"Yanmar")</f>
        <v>Yanmar</v>
      </c>
      <c r="K278" s="8" t="str">
        <f ca="1">IFERROR(__xludf.DUMMYFUNCTION("""COMPUTED_VALUE"""),"-")</f>
        <v>-</v>
      </c>
      <c r="L278" s="8" t="str">
        <f ca="1">IFERROR(__xludf.DUMMYFUNCTION("""COMPUTED_VALUE"""),"Fitted")</f>
        <v>Fitted</v>
      </c>
      <c r="M278" s="8" t="str">
        <f ca="1">IFERROR(__xludf.DUMMYFUNCTION("""COMPUTED_VALUE"""),"RI 10/28D")</f>
        <v>RI 10/28D</v>
      </c>
      <c r="N278" s="10" t="str">
        <f ca="1">IFERROR(__xludf.DUMMYFUNCTION("""COMPUTED_VALUE"""),"SE.Asia")</f>
        <v>SE.Asia</v>
      </c>
      <c r="O278" s="8" t="str">
        <f ca="1">IFERROR(__xludf.DUMMYFUNCTION("""COMPUTED_VALUE"""),"B.offers")</f>
        <v>B.offers</v>
      </c>
    </row>
    <row r="279" spans="1:15" ht="15.75" customHeight="1" x14ac:dyDescent="0.25">
      <c r="A279" s="8" t="str">
        <f ca="1">IFERROR(__xludf.DUMMYFUNCTION("""COMPUTED_VALUE"""),"TA 8740/01")</f>
        <v>TA 8740/01</v>
      </c>
      <c r="B279" s="8" t="str">
        <f ca="1">IFERROR(__xludf.DUMMYFUNCTION("""COMPUTED_VALUE"""),"Stainless Steel Bunkering Tanker")</f>
        <v>Stainless Steel Bunkering Tanker</v>
      </c>
      <c r="C279" s="9">
        <f ca="1">IFERROR(__xludf.DUMMYFUNCTION("""COMPUTED_VALUE"""),8740)</f>
        <v>8740</v>
      </c>
      <c r="D279" s="8" t="str">
        <f ca="1">IFERROR(__xludf.DUMMYFUNCTION("""COMPUTED_VALUE"""),"2001-Japan")</f>
        <v>2001-Japan</v>
      </c>
      <c r="E279" s="8" t="str">
        <f ca="1">IFERROR(__xludf.DUMMYFUNCTION("""COMPUTED_VALUE"""),"113.98 x 18.20")</f>
        <v>113.98 x 18.20</v>
      </c>
      <c r="F279" s="8" t="str">
        <f ca="1">IFERROR(__xludf.DUMMYFUNCTION("""COMPUTED_VALUE"""),"18")</f>
        <v>18</v>
      </c>
      <c r="G279" s="8">
        <f ca="1">IFERROR(__xludf.DUMMYFUNCTION("""COMPUTED_VALUE"""),9172)</f>
        <v>9172</v>
      </c>
      <c r="H279" s="8" t="str">
        <f ca="1">IFERROR(__xludf.DUMMYFUNCTION("""COMPUTED_VALUE"""),"Y stst/Y SUS316L")</f>
        <v>Y stst/Y SUS316L</v>
      </c>
      <c r="I279" s="8" t="str">
        <f ca="1">IFERROR(__xludf.DUMMYFUNCTION("""COMPUTED_VALUE"""),"18 x 200 deepw.")</f>
        <v>18 x 200 deepw.</v>
      </c>
      <c r="J279" s="8" t="str">
        <f ca="1">IFERROR(__xludf.DUMMYFUNCTION("""COMPUTED_VALUE"""),"B&amp;W")</f>
        <v>B&amp;W</v>
      </c>
      <c r="K279" s="8"/>
      <c r="L279" s="8" t="str">
        <f ca="1">IFERROR(__xludf.DUMMYFUNCTION("""COMPUTED_VALUE"""),"Fitted")</f>
        <v>Fitted</v>
      </c>
      <c r="M279" s="8" t="str">
        <f ca="1">IFERROR(__xludf.DUMMYFUNCTION("""COMPUTED_VALUE"""),"KR Class")</f>
        <v>KR Class</v>
      </c>
      <c r="N279" s="8" t="str">
        <f ca="1">IFERROR(__xludf.DUMMYFUNCTION("""COMPUTED_VALUE"""),"Fareast")</f>
        <v>Fareast</v>
      </c>
      <c r="O279" s="8" t="str">
        <f ca="1">IFERROR(__xludf.DUMMYFUNCTION("""COMPUTED_VALUE"""),"4.8 m")</f>
        <v>4.8 m</v>
      </c>
    </row>
    <row r="280" spans="1:15" ht="15.75" customHeight="1" x14ac:dyDescent="0.25">
      <c r="A280" s="8" t="str">
        <f ca="1">IFERROR(__xludf.DUMMYFUNCTION("""COMPUTED_VALUE"""),"TA 8716/01")</f>
        <v>TA 8716/01</v>
      </c>
      <c r="B280" s="8" t="str">
        <f ca="1">IFERROR(__xludf.DUMMYFUNCTION("""COMPUTED_VALUE"""),"CPP IMO II Ocean going Tanker")</f>
        <v>CPP IMO II Ocean going Tanker</v>
      </c>
      <c r="C280" s="9">
        <f ca="1">IFERROR(__xludf.DUMMYFUNCTION("""COMPUTED_VALUE"""),8716)</f>
        <v>8716</v>
      </c>
      <c r="D280" s="8" t="str">
        <f ca="1">IFERROR(__xludf.DUMMYFUNCTION("""COMPUTED_VALUE"""),"2001-Japan")</f>
        <v>2001-Japan</v>
      </c>
      <c r="E280" s="8" t="str">
        <f ca="1">IFERROR(__xludf.DUMMYFUNCTION("""COMPUTED_VALUE"""),"113.98 x 18.20")</f>
        <v>113.98 x 18.20</v>
      </c>
      <c r="F280" s="8" t="str">
        <f ca="1">IFERROR(__xludf.DUMMYFUNCTION("""COMPUTED_VALUE"""),"18")</f>
        <v>18</v>
      </c>
      <c r="G280" s="8">
        <f ca="1">IFERROR(__xludf.DUMMYFUNCTION("""COMPUTED_VALUE"""),9172)</f>
        <v>9172</v>
      </c>
      <c r="H280" s="8" t="str">
        <f ca="1">IFERROR(__xludf.DUMMYFUNCTION("""COMPUTED_VALUE"""),"Y/?")</f>
        <v>Y/?</v>
      </c>
      <c r="I280" s="8" t="str">
        <f ca="1">IFERROR(__xludf.DUMMYFUNCTION("""COMPUTED_VALUE"""),"18 x 200 deepw.")</f>
        <v>18 x 200 deepw.</v>
      </c>
      <c r="J280" s="8" t="str">
        <f ca="1">IFERROR(__xludf.DUMMYFUNCTION("""COMPUTED_VALUE"""),"B&amp;W")</f>
        <v>B&amp;W</v>
      </c>
      <c r="K280" s="8"/>
      <c r="L280" s="8" t="str">
        <f ca="1">IFERROR(__xludf.DUMMYFUNCTION("""COMPUTED_VALUE"""),"Fitted")</f>
        <v>Fitted</v>
      </c>
      <c r="M280" s="8" t="str">
        <f ca="1">IFERROR(__xludf.DUMMYFUNCTION("""COMPUTED_VALUE"""),"KR 11.26D")</f>
        <v>KR 11.26D</v>
      </c>
      <c r="N280" s="8" t="str">
        <f ca="1">IFERROR(__xludf.DUMMYFUNCTION("""COMPUTED_VALUE"""),"Fareast")</f>
        <v>Fareast</v>
      </c>
      <c r="O280" s="8" t="str">
        <f ca="1">IFERROR(__xludf.DUMMYFUNCTION("""COMPUTED_VALUE"""),"B.offers")</f>
        <v>B.offers</v>
      </c>
    </row>
    <row r="281" spans="1:15" ht="15.75" customHeight="1" x14ac:dyDescent="0.25">
      <c r="A281" s="8" t="str">
        <f ca="1">IFERROR(__xludf.DUMMYFUNCTION("""COMPUTED_VALUE"""),"TA 8712/16")</f>
        <v>TA 8712/16</v>
      </c>
      <c r="B281" s="8" t="str">
        <f ca="1">IFERROR(__xludf.DUMMYFUNCTION("""COMPUTED_VALUE"""),"Products Tanker")</f>
        <v>Products Tanker</v>
      </c>
      <c r="C281" s="9">
        <f ca="1">IFERROR(__xludf.DUMMYFUNCTION("""COMPUTED_VALUE"""),8712)</f>
        <v>8712</v>
      </c>
      <c r="D281" s="8" t="str">
        <f ca="1">IFERROR(__xludf.DUMMYFUNCTION("""COMPUTED_VALUE"""),"2016-China")</f>
        <v>2016-China</v>
      </c>
      <c r="E281" s="8" t="str">
        <f ca="1">IFERROR(__xludf.DUMMYFUNCTION("""COMPUTED_VALUE"""),"114.9 x 18.00")</f>
        <v>114.9 x 18.00</v>
      </c>
      <c r="F281" s="8" t="str">
        <f ca="1">IFERROR(__xludf.DUMMYFUNCTION("""COMPUTED_VALUE"""),"12")</f>
        <v>12</v>
      </c>
      <c r="G281" s="8">
        <f ca="1">IFERROR(__xludf.DUMMYFUNCTION("""COMPUTED_VALUE"""),8025)</f>
        <v>8025</v>
      </c>
      <c r="H281" s="8" t="str">
        <f ca="1">IFERROR(__xludf.DUMMYFUNCTION("""COMPUTED_VALUE"""),"Y/Y Epoxy")</f>
        <v>Y/Y Epoxy</v>
      </c>
      <c r="I281" s="8" t="str">
        <f ca="1">IFERROR(__xludf.DUMMYFUNCTION("""COMPUTED_VALUE"""),"2x780+1x160")</f>
        <v>2x780+1x160</v>
      </c>
      <c r="J281" s="8" t="str">
        <f ca="1">IFERROR(__xludf.DUMMYFUNCTION("""COMPUTED_VALUE"""),"Guangzhou")</f>
        <v>Guangzhou</v>
      </c>
      <c r="K281" s="8" t="str">
        <f ca="1">IFERROR(__xludf.DUMMYFUNCTION("""COMPUTED_VALUE"""),"11.5 kn")</f>
        <v>11.5 kn</v>
      </c>
      <c r="L281" s="8" t="str">
        <f ca="1">IFERROR(__xludf.DUMMYFUNCTION("""COMPUTED_VALUE"""),"Fitted")</f>
        <v>Fitted</v>
      </c>
      <c r="M281" s="8" t="str">
        <f ca="1">IFERROR(__xludf.DUMMYFUNCTION("""COMPUTED_VALUE"""),"BV 7/26D")</f>
        <v>BV 7/26D</v>
      </c>
      <c r="N281" s="8" t="str">
        <f ca="1">IFERROR(__xludf.DUMMYFUNCTION("""COMPUTED_VALUE"""),"Fareast")</f>
        <v>Fareast</v>
      </c>
      <c r="O281" s="8" t="str">
        <f ca="1">IFERROR(__xludf.DUMMYFUNCTION("""COMPUTED_VALUE"""),"B.offers")</f>
        <v>B.offers</v>
      </c>
    </row>
    <row r="282" spans="1:15" ht="15.75" customHeight="1" x14ac:dyDescent="0.25">
      <c r="A282" s="8" t="str">
        <f ca="1">IFERROR(__xludf.DUMMYFUNCTION("""COMPUTED_VALUE"""),"TA 8626/04")</f>
        <v>TA 8626/04</v>
      </c>
      <c r="B282" s="8" t="str">
        <f ca="1">IFERROR(__xludf.DUMMYFUNCTION("""COMPUTED_VALUE"""),"Stainless Steel  IMO II Tanker")</f>
        <v>Stainless Steel  IMO II Tanker</v>
      </c>
      <c r="C282" s="9">
        <f ca="1">IFERROR(__xludf.DUMMYFUNCTION("""COMPUTED_VALUE"""),8626)</f>
        <v>8626</v>
      </c>
      <c r="D282" s="8" t="str">
        <f ca="1">IFERROR(__xludf.DUMMYFUNCTION("""COMPUTED_VALUE"""),"2004-Japan")</f>
        <v>2004-Japan</v>
      </c>
      <c r="E282" s="8" t="str">
        <f ca="1">IFERROR(__xludf.DUMMYFUNCTION("""COMPUTED_VALUE"""),"113.98 X 18.20")</f>
        <v>113.98 X 18.20</v>
      </c>
      <c r="F282" s="8" t="str">
        <f ca="1">IFERROR(__xludf.DUMMYFUNCTION("""COMPUTED_VALUE"""),"19")</f>
        <v>19</v>
      </c>
      <c r="G282" s="8">
        <f ca="1">IFERROR(__xludf.DUMMYFUNCTION("""COMPUTED_VALUE"""),9049)</f>
        <v>9049</v>
      </c>
      <c r="H282" s="8" t="str">
        <f ca="1">IFERROR(__xludf.DUMMYFUNCTION("""COMPUTED_VALUE"""),"Y stst/Y St.st.")</f>
        <v>Y stst/Y St.st.</v>
      </c>
      <c r="I282" s="8" t="str">
        <f ca="1">IFERROR(__xludf.DUMMYFUNCTION("""COMPUTED_VALUE"""),"12 x 250 + 4 x 150 + 100")</f>
        <v>12 x 250 + 4 x 150 + 100</v>
      </c>
      <c r="J282" s="8" t="str">
        <f ca="1">IFERROR(__xludf.DUMMYFUNCTION("""COMPUTED_VALUE"""),"MAN-B&amp;W")</f>
        <v>MAN-B&amp;W</v>
      </c>
      <c r="K282" s="8" t="str">
        <f ca="1">IFERROR(__xludf.DUMMYFUNCTION("""COMPUTED_VALUE"""),"-")</f>
        <v>-</v>
      </c>
      <c r="L282" s="8" t="str">
        <f ca="1">IFERROR(__xludf.DUMMYFUNCTION("""COMPUTED_VALUE"""),"To be chkd")</f>
        <v>To be chkd</v>
      </c>
      <c r="M282" s="8" t="str">
        <f ca="1">IFERROR(__xludf.DUMMYFUNCTION("""COMPUTED_VALUE"""),"KR 4/29D")</f>
        <v>KR 4/29D</v>
      </c>
      <c r="N282" s="8" t="str">
        <f ca="1">IFERROR(__xludf.DUMMYFUNCTION("""COMPUTED_VALUE"""),"Check")</f>
        <v>Check</v>
      </c>
      <c r="O282" s="8" t="str">
        <f ca="1">IFERROR(__xludf.DUMMYFUNCTION("""COMPUTED_VALUE"""),"B.offers")</f>
        <v>B.offers</v>
      </c>
    </row>
    <row r="283" spans="1:15" ht="15.75" customHeight="1" x14ac:dyDescent="0.25">
      <c r="A283" s="8" t="str">
        <f ca="1">IFERROR(__xludf.DUMMYFUNCTION("""COMPUTED_VALUE"""),"TA 8558/02")</f>
        <v>TA 8558/02</v>
      </c>
      <c r="B283" s="8" t="str">
        <f ca="1">IFERROR(__xludf.DUMMYFUNCTION("""COMPUTED_VALUE"""),"Stainless Steel IMO 2+3 Chem.Tk.")</f>
        <v>Stainless Steel IMO 2+3 Chem.Tk.</v>
      </c>
      <c r="C283" s="9">
        <f ca="1">IFERROR(__xludf.DUMMYFUNCTION("""COMPUTED_VALUE"""),8558)</f>
        <v>8558</v>
      </c>
      <c r="D283" s="8" t="str">
        <f ca="1">IFERROR(__xludf.DUMMYFUNCTION("""COMPUTED_VALUE"""),"2002-Japan")</f>
        <v>2002-Japan</v>
      </c>
      <c r="E283" s="8" t="str">
        <f ca="1">IFERROR(__xludf.DUMMYFUNCTION("""COMPUTED_VALUE"""),"111.91 x 19.00")</f>
        <v>111.91 x 19.00</v>
      </c>
      <c r="F283" s="8" t="str">
        <f ca="1">IFERROR(__xludf.DUMMYFUNCTION("""COMPUTED_VALUE"""),"16")</f>
        <v>16</v>
      </c>
      <c r="G283" s="8">
        <f ca="1">IFERROR(__xludf.DUMMYFUNCTION("""COMPUTED_VALUE"""),9000)</f>
        <v>9000</v>
      </c>
      <c r="H283" s="8" t="str">
        <f ca="1">IFERROR(__xludf.DUMMYFUNCTION("""COMPUTED_VALUE"""),"Y stst/Y St.st.")</f>
        <v>Y stst/Y St.st.</v>
      </c>
      <c r="I283" s="8" t="str">
        <f ca="1">IFERROR(__xludf.DUMMYFUNCTION("""COMPUTED_VALUE"""),"14 x 200")</f>
        <v>14 x 200</v>
      </c>
      <c r="J283" s="8" t="str">
        <f ca="1">IFERROR(__xludf.DUMMYFUNCTION("""COMPUTED_VALUE"""),"B&amp;W")</f>
        <v>B&amp;W</v>
      </c>
      <c r="K283" s="8" t="str">
        <f ca="1">IFERROR(__xludf.DUMMYFUNCTION("""COMPUTED_VALUE"""),"14 kn")</f>
        <v>14 kn</v>
      </c>
      <c r="L283" s="8" t="str">
        <f ca="1">IFERROR(__xludf.DUMMYFUNCTION("""COMPUTED_VALUE"""),"To be chkd")</f>
        <v>To be chkd</v>
      </c>
      <c r="M283" s="8" t="str">
        <f ca="1">IFERROR(__xludf.DUMMYFUNCTION("""COMPUTED_VALUE"""),"NK 9/27D")</f>
        <v>NK 9/27D</v>
      </c>
      <c r="N283" s="8" t="str">
        <f ca="1">IFERROR(__xludf.DUMMYFUNCTION("""COMPUTED_VALUE"""),"Check")</f>
        <v>Check</v>
      </c>
      <c r="O283" s="8" t="str">
        <f ca="1">IFERROR(__xludf.DUMMYFUNCTION("""COMPUTED_VALUE"""),"B.offers")</f>
        <v>B.offers</v>
      </c>
    </row>
    <row r="284" spans="1:15" ht="15.75" customHeight="1" x14ac:dyDescent="0.25">
      <c r="A284" s="8" t="str">
        <f ca="1">IFERROR(__xludf.DUMMYFUNCTION("""COMPUTED_VALUE"""),"TA 8501/03")</f>
        <v>TA 8501/03</v>
      </c>
      <c r="B284" s="8" t="str">
        <f ca="1">IFERROR(__xludf.DUMMYFUNCTION("""COMPUTED_VALUE"""),"Oil/Chemical IMO II Tanker")</f>
        <v>Oil/Chemical IMO II Tanker</v>
      </c>
      <c r="C284" s="9">
        <f ca="1">IFERROR(__xludf.DUMMYFUNCTION("""COMPUTED_VALUE"""),8501)</f>
        <v>8501</v>
      </c>
      <c r="D284" s="8" t="str">
        <f ca="1">IFERROR(__xludf.DUMMYFUNCTION("""COMPUTED_VALUE"""),"2003-Japan")</f>
        <v>2003-Japan</v>
      </c>
      <c r="E284" s="8" t="str">
        <f ca="1">IFERROR(__xludf.DUMMYFUNCTION("""COMPUTED_VALUE"""),"118.1 x 18.83")</f>
        <v>118.1 x 18.83</v>
      </c>
      <c r="F284" s="8" t="str">
        <f ca="1">IFERROR(__xludf.DUMMYFUNCTION("""COMPUTED_VALUE"""),"10")</f>
        <v>10</v>
      </c>
      <c r="G284" s="8">
        <f ca="1">IFERROR(__xludf.DUMMYFUNCTION("""COMPUTED_VALUE"""),9442)</f>
        <v>9442</v>
      </c>
      <c r="H284" s="8" t="str">
        <f ca="1">IFERROR(__xludf.DUMMYFUNCTION("""COMPUTED_VALUE"""),"Y stst/Y Marinel")</f>
        <v>Y stst/Y Marinel</v>
      </c>
      <c r="I284" s="8" t="str">
        <f ca="1">IFERROR(__xludf.DUMMYFUNCTION("""COMPUTED_VALUE"""),"4 x 500 screw")</f>
        <v>4 x 500 screw</v>
      </c>
      <c r="J284" s="8" t="str">
        <f ca="1">IFERROR(__xludf.DUMMYFUNCTION("""COMPUTED_VALUE"""),"MAK")</f>
        <v>MAK</v>
      </c>
      <c r="K284" s="8" t="str">
        <f ca="1">IFERROR(__xludf.DUMMYFUNCTION("""COMPUTED_VALUE"""),"11.7 kn/8.5 t")</f>
        <v>11.7 kn/8.5 t</v>
      </c>
      <c r="L284" s="8" t="str">
        <f ca="1">IFERROR(__xludf.DUMMYFUNCTION("""COMPUTED_VALUE"""),"Fitted")</f>
        <v>Fitted</v>
      </c>
      <c r="M284" s="8" t="str">
        <f ca="1">IFERROR(__xludf.DUMMYFUNCTION("""COMPUTED_VALUE"""),"BV 9/28D")</f>
        <v>BV 9/28D</v>
      </c>
      <c r="N284" s="8" t="str">
        <f ca="1">IFERROR(__xludf.DUMMYFUNCTION("""COMPUTED_VALUE"""),"N.Europe")</f>
        <v>N.Europe</v>
      </c>
      <c r="O284" s="8" t="str">
        <f ca="1">IFERROR(__xludf.DUMMYFUNCTION("""COMPUTED_VALUE"""),"5.7-5.5 m")</f>
        <v>5.7-5.5 m</v>
      </c>
    </row>
    <row r="285" spans="1:15" ht="15.75" customHeight="1" x14ac:dyDescent="0.25">
      <c r="A285" s="8" t="str">
        <f ca="1">IFERROR(__xludf.DUMMYFUNCTION("""COMPUTED_VALUE"""),"TA 8488/14")</f>
        <v>TA 8488/14</v>
      </c>
      <c r="B285" s="8" t="str">
        <f ca="1">IFERROR(__xludf.DUMMYFUNCTION("""COMPUTED_VALUE"""),"Chem.Tk IMO 2/Ice 1A")</f>
        <v>Chem.Tk IMO 2/Ice 1A</v>
      </c>
      <c r="C285" s="9">
        <f ca="1">IFERROR(__xludf.DUMMYFUNCTION("""COMPUTED_VALUE"""),8488)</f>
        <v>8488</v>
      </c>
      <c r="D285" s="8" t="str">
        <f ca="1">IFERROR(__xludf.DUMMYFUNCTION("""COMPUTED_VALUE"""),"2014-Turkey")</f>
        <v>2014-Turkey</v>
      </c>
      <c r="E285" s="8" t="str">
        <f ca="1">IFERROR(__xludf.DUMMYFUNCTION("""COMPUTED_VALUE"""),"124.12 x 17.20")</f>
        <v>124.12 x 17.20</v>
      </c>
      <c r="F285" s="8" t="str">
        <f ca="1">IFERROR(__xludf.DUMMYFUNCTION("""COMPUTED_VALUE"""),"14")</f>
        <v>14</v>
      </c>
      <c r="G285" s="8">
        <f ca="1">IFERROR(__xludf.DUMMYFUNCTION("""COMPUTED_VALUE"""),9124)</f>
        <v>9124</v>
      </c>
      <c r="H285" s="8" t="str">
        <f ca="1">IFERROR(__xludf.DUMMYFUNCTION("""COMPUTED_VALUE"""),"Ystst/Marine Line")</f>
        <v>Ystst/Marine Line</v>
      </c>
      <c r="I285" s="8" t="str">
        <f ca="1">IFERROR(__xludf.DUMMYFUNCTION("""COMPUTED_VALUE"""),"12 x 250 ++ 2 x 70")</f>
        <v>12 x 250 ++ 2 x 70</v>
      </c>
      <c r="J285" s="8" t="str">
        <f ca="1">IFERROR(__xludf.DUMMYFUNCTION("""COMPUTED_VALUE"""),"MAK")</f>
        <v>MAK</v>
      </c>
      <c r="K285" s="8" t="str">
        <f ca="1">IFERROR(__xludf.DUMMYFUNCTION("""COMPUTED_VALUE"""),"12.5 k/14 t")</f>
        <v>12.5 k/14 t</v>
      </c>
      <c r="L285" s="8" t="str">
        <f ca="1">IFERROR(__xludf.DUMMYFUNCTION("""COMPUTED_VALUE"""),"Fitted")</f>
        <v>Fitted</v>
      </c>
      <c r="M285" s="8" t="str">
        <f ca="1">IFERROR(__xludf.DUMMYFUNCTION("""COMPUTED_VALUE"""),"AB 4/29D")</f>
        <v>AB 4/29D</v>
      </c>
      <c r="N285" s="8" t="str">
        <f ca="1">IFERROR(__xludf.DUMMYFUNCTION("""COMPUTED_VALUE"""),"Med/Cont")</f>
        <v>Med/Cont</v>
      </c>
      <c r="O285" s="8" t="str">
        <f ca="1">IFERROR(__xludf.DUMMYFUNCTION("""COMPUTED_VALUE"""),"15.5 m")</f>
        <v>15.5 m</v>
      </c>
    </row>
    <row r="286" spans="1:15" ht="15.75" customHeight="1" x14ac:dyDescent="0.25">
      <c r="A286" s="8" t="str">
        <f ca="1">IFERROR(__xludf.DUMMYFUNCTION("""COMPUTED_VALUE"""),"TA 8459/20")</f>
        <v>TA 8459/20</v>
      </c>
      <c r="B286" s="8" t="str">
        <f ca="1">IFERROR(__xludf.DUMMYFUNCTION("""COMPUTED_VALUE"""),"Chem/Oil Tk Ice II")</f>
        <v>Chem/Oil Tk Ice II</v>
      </c>
      <c r="C286" s="9">
        <f ca="1">IFERROR(__xludf.DUMMYFUNCTION("""COMPUTED_VALUE"""),8459)</f>
        <v>8459</v>
      </c>
      <c r="D286" s="8" t="str">
        <f ca="1">IFERROR(__xludf.DUMMYFUNCTION("""COMPUTED_VALUE"""),"2020-China")</f>
        <v>2020-China</v>
      </c>
      <c r="E286" s="8" t="str">
        <f ca="1">IFERROR(__xludf.DUMMYFUNCTION("""COMPUTED_VALUE"""),"124.88 x 17.40")</f>
        <v>124.88 x 17.40</v>
      </c>
      <c r="F286" s="8" t="str">
        <f ca="1">IFERROR(__xludf.DUMMYFUNCTION("""COMPUTED_VALUE"""),"12")</f>
        <v>12</v>
      </c>
      <c r="G286" s="8" t="str">
        <f ca="1">IFERROR(__xludf.DUMMYFUNCTION("""COMPUTED_VALUE"""),"-")</f>
        <v>-</v>
      </c>
      <c r="H286" s="8" t="str">
        <f ca="1">IFERROR(__xludf.DUMMYFUNCTION("""COMPUTED_VALUE"""),"N/Y Epoxy")</f>
        <v>N/Y Epoxy</v>
      </c>
      <c r="I286" s="8" t="str">
        <f ca="1">IFERROR(__xludf.DUMMYFUNCTION("""COMPUTED_VALUE"""),"2 x 600")</f>
        <v>2 x 600</v>
      </c>
      <c r="J286" s="8" t="str">
        <f ca="1">IFERROR(__xludf.DUMMYFUNCTION("""COMPUTED_VALUE"""),"-")</f>
        <v>-</v>
      </c>
      <c r="K286" s="8" t="str">
        <f ca="1">IFERROR(__xludf.DUMMYFUNCTION("""COMPUTED_VALUE"""),"-")</f>
        <v>-</v>
      </c>
      <c r="L286" s="8" t="str">
        <f ca="1">IFERROR(__xludf.DUMMYFUNCTION("""COMPUTED_VALUE"""),"Fitted")</f>
        <v>Fitted</v>
      </c>
      <c r="M286" s="8" t="str">
        <f ca="1">IFERROR(__xludf.DUMMYFUNCTION("""COMPUTED_VALUE"""),"CCS Ice II")</f>
        <v>CCS Ice II</v>
      </c>
      <c r="N286" s="8" t="str">
        <f ca="1">IFERROR(__xludf.DUMMYFUNCTION("""COMPUTED_VALUE"""),"Fareast")</f>
        <v>Fareast</v>
      </c>
      <c r="O286" s="8" t="str">
        <f ca="1">IFERROR(__xludf.DUMMYFUNCTION("""COMPUTED_VALUE"""),"B.offers")</f>
        <v>B.offers</v>
      </c>
    </row>
    <row r="287" spans="1:15" ht="15.75" customHeight="1" x14ac:dyDescent="0.25">
      <c r="A287" s="8" t="str">
        <f ca="1">IFERROR(__xludf.DUMMYFUNCTION("""COMPUTED_VALUE"""),"TA 8284/07")</f>
        <v>TA 8284/07</v>
      </c>
      <c r="B287" s="8" t="str">
        <f ca="1">IFERROR(__xludf.DUMMYFUNCTION("""COMPUTED_VALUE"""),"Products Tanker")</f>
        <v>Products Tanker</v>
      </c>
      <c r="C287" s="9">
        <f ca="1">IFERROR(__xludf.DUMMYFUNCTION("""COMPUTED_VALUE"""),8284)</f>
        <v>8284</v>
      </c>
      <c r="D287" s="8" t="str">
        <f ca="1">IFERROR(__xludf.DUMMYFUNCTION("""COMPUTED_VALUE"""),"2007-China")</f>
        <v>2007-China</v>
      </c>
      <c r="E287" s="8" t="str">
        <f ca="1">IFERROR(__xludf.DUMMYFUNCTION("""COMPUTED_VALUE"""),"115.19 x 18.00")</f>
        <v>115.19 x 18.00</v>
      </c>
      <c r="F287" s="8" t="str">
        <f ca="1">IFERROR(__xludf.DUMMYFUNCTION("""COMPUTED_VALUE"""),"10")</f>
        <v>10</v>
      </c>
      <c r="G287" s="8">
        <f ca="1">IFERROR(__xludf.DUMMYFUNCTION("""COMPUTED_VALUE"""),8513)</f>
        <v>8513</v>
      </c>
      <c r="H287" s="8" t="str">
        <f ca="1">IFERROR(__xludf.DUMMYFUNCTION("""COMPUTED_VALUE"""),"Y/Y Epoxy")</f>
        <v>Y/Y Epoxy</v>
      </c>
      <c r="I287" s="8" t="str">
        <f ca="1">IFERROR(__xludf.DUMMYFUNCTION("""COMPUTED_VALUE"""),"6 x 400")</f>
        <v>6 x 400</v>
      </c>
      <c r="J287" s="8" t="str">
        <f ca="1">IFERROR(__xludf.DUMMYFUNCTION("""COMPUTED_VALUE"""),"Yanmar")</f>
        <v>Yanmar</v>
      </c>
      <c r="K287" s="8" t="str">
        <f ca="1">IFERROR(__xludf.DUMMYFUNCTION("""COMPUTED_VALUE"""),"-")</f>
        <v>-</v>
      </c>
      <c r="L287" s="8" t="str">
        <f ca="1">IFERROR(__xludf.DUMMYFUNCTION("""COMPUTED_VALUE"""),"Fitted")</f>
        <v>Fitted</v>
      </c>
      <c r="M287" s="8" t="str">
        <f ca="1">IFERROR(__xludf.DUMMYFUNCTION("""COMPUTED_VALUE"""),"CCS 4.27D")</f>
        <v>CCS 4.27D</v>
      </c>
      <c r="N287" s="8" t="str">
        <f ca="1">IFERROR(__xludf.DUMMYFUNCTION("""COMPUTED_VALUE"""),"Fareast")</f>
        <v>Fareast</v>
      </c>
      <c r="O287" s="8" t="str">
        <f ca="1">IFERROR(__xludf.DUMMYFUNCTION("""COMPUTED_VALUE"""),"B.offers")</f>
        <v>B.offers</v>
      </c>
    </row>
    <row r="288" spans="1:15" ht="15.75" customHeight="1" x14ac:dyDescent="0.25">
      <c r="A288" s="8" t="str">
        <f ca="1">IFERROR(__xludf.DUMMYFUNCTION("""COMPUTED_VALUE"""),"TA 8151/08")</f>
        <v>TA 8151/08</v>
      </c>
      <c r="B288" s="8" t="str">
        <f ca="1">IFERROR(__xludf.DUMMYFUNCTION("""COMPUTED_VALUE"""),"Products Tanker Ice 1A")</f>
        <v>Products Tanker Ice 1A</v>
      </c>
      <c r="C288" s="9">
        <f ca="1">IFERROR(__xludf.DUMMYFUNCTION("""COMPUTED_VALUE"""),8151)</f>
        <v>8151</v>
      </c>
      <c r="D288" s="8" t="str">
        <f ca="1">IFERROR(__xludf.DUMMYFUNCTION("""COMPUTED_VALUE"""),"2008-Russia")</f>
        <v>2008-Russia</v>
      </c>
      <c r="E288" s="8" t="str">
        <f ca="1">IFERROR(__xludf.DUMMYFUNCTION("""COMPUTED_VALUE"""),"114.65 x 17.32")</f>
        <v>114.65 x 17.32</v>
      </c>
      <c r="F288" s="8" t="str">
        <f ca="1">IFERROR(__xludf.DUMMYFUNCTION("""COMPUTED_VALUE"""),"-")</f>
        <v>-</v>
      </c>
      <c r="G288" s="8">
        <f ca="1">IFERROR(__xludf.DUMMYFUNCTION("""COMPUTED_VALUE"""),8711)</f>
        <v>8711</v>
      </c>
      <c r="H288" s="8" t="str">
        <f ca="1">IFERROR(__xludf.DUMMYFUNCTION("""COMPUTED_VALUE"""),"Y stst/Y Epoxy")</f>
        <v>Y stst/Y Epoxy</v>
      </c>
      <c r="I288" s="8" t="str">
        <f ca="1">IFERROR(__xludf.DUMMYFUNCTION("""COMPUTED_VALUE"""),"-")</f>
        <v>-</v>
      </c>
      <c r="J288" s="8" t="str">
        <f ca="1">IFERROR(__xludf.DUMMYFUNCTION("""COMPUTED_VALUE"""),"Wartsila")</f>
        <v>Wartsila</v>
      </c>
      <c r="K288" s="8" t="str">
        <f ca="1">IFERROR(__xludf.DUMMYFUNCTION("""COMPUTED_VALUE"""),"-")</f>
        <v>-</v>
      </c>
      <c r="L288" s="8" t="str">
        <f ca="1">IFERROR(__xludf.DUMMYFUNCTION("""COMPUTED_VALUE"""),"Fitted")</f>
        <v>Fitted</v>
      </c>
      <c r="M288" s="8" t="str">
        <f ca="1">IFERROR(__xludf.DUMMYFUNCTION("""COMPUTED_VALUE"""),"NV 5.28D")</f>
        <v>NV 5.28D</v>
      </c>
      <c r="N288" s="8" t="str">
        <f ca="1">IFERROR(__xludf.DUMMYFUNCTION("""COMPUTED_VALUE"""),"Baltic")</f>
        <v>Baltic</v>
      </c>
      <c r="O288" s="8" t="str">
        <f ca="1">IFERROR(__xludf.DUMMYFUNCTION("""COMPUTED_VALUE"""),"B.offers")</f>
        <v>B.offers</v>
      </c>
    </row>
    <row r="289" spans="1:15" ht="15.75" customHeight="1" x14ac:dyDescent="0.25">
      <c r="A289" s="8" t="str">
        <f ca="1">IFERROR(__xludf.DUMMYFUNCTION("""COMPUTED_VALUE"""),"TA 5136/05")</f>
        <v>TA 5136/05</v>
      </c>
      <c r="B289" s="8" t="str">
        <f ca="1">IFERROR(__xludf.DUMMYFUNCTION("""COMPUTED_VALUE"""),"Chemical/Products CPP Tanker")</f>
        <v>Chemical/Products CPP Tanker</v>
      </c>
      <c r="C289" s="9">
        <f ca="1">IFERROR(__xludf.DUMMYFUNCTION("""COMPUTED_VALUE"""),8136)</f>
        <v>8136</v>
      </c>
      <c r="D289" s="8" t="str">
        <f ca="1">IFERROR(__xludf.DUMMYFUNCTION("""COMPUTED_VALUE"""),"2005-Turkey")</f>
        <v>2005-Turkey</v>
      </c>
      <c r="E289" s="8" t="str">
        <f ca="1">IFERROR(__xludf.DUMMYFUNCTION("""COMPUTED_VALUE"""),"102.90 x 15.60")</f>
        <v>102.90 x 15.60</v>
      </c>
      <c r="F289" s="8" t="str">
        <f ca="1">IFERROR(__xludf.DUMMYFUNCTION("""COMPUTED_VALUE"""),"12")</f>
        <v>12</v>
      </c>
      <c r="G289" s="8">
        <f ca="1">IFERROR(__xludf.DUMMYFUNCTION("""COMPUTED_VALUE"""),5459)</f>
        <v>5459</v>
      </c>
      <c r="H289" s="8" t="str">
        <f ca="1">IFERROR(__xludf.DUMMYFUNCTION("""COMPUTED_VALUE"""),"Y/Y Epoxy")</f>
        <v>Y/Y Epoxy</v>
      </c>
      <c r="I289" s="8" t="str">
        <f ca="1">IFERROR(__xludf.DUMMYFUNCTION("""COMPUTED_VALUE"""),"10 x 200")</f>
        <v>10 x 200</v>
      </c>
      <c r="J289" s="8" t="str">
        <f ca="1">IFERROR(__xludf.DUMMYFUNCTION("""COMPUTED_VALUE"""),"MAK")</f>
        <v>MAK</v>
      </c>
      <c r="K289" s="8" t="str">
        <f ca="1">IFERROR(__xludf.DUMMYFUNCTION("""COMPUTED_VALUE"""),"13 k")</f>
        <v>13 k</v>
      </c>
      <c r="L289" s="8" t="str">
        <f ca="1">IFERROR(__xludf.DUMMYFUNCTION("""COMPUTED_VALUE"""),"To be chkd")</f>
        <v>To be chkd</v>
      </c>
      <c r="M289" s="8" t="str">
        <f ca="1">IFERROR(__xludf.DUMMYFUNCTION("""COMPUTED_VALUE"""),"BV Class")</f>
        <v>BV Class</v>
      </c>
      <c r="N289" s="8" t="str">
        <f ca="1">IFERROR(__xludf.DUMMYFUNCTION("""COMPUTED_VALUE"""),"SOM")</f>
        <v>SOM</v>
      </c>
      <c r="O289" s="8" t="str">
        <f ca="1">IFERROR(__xludf.DUMMYFUNCTION("""COMPUTED_VALUE"""),"B.offers")</f>
        <v>B.offers</v>
      </c>
    </row>
    <row r="290" spans="1:15" ht="15.75" customHeight="1" x14ac:dyDescent="0.25">
      <c r="A290" s="8" t="str">
        <f ca="1">IFERROR(__xludf.DUMMYFUNCTION("""COMPUTED_VALUE"""),"TA 8000/93")</f>
        <v>TA 8000/93</v>
      </c>
      <c r="B290" s="8" t="str">
        <f ca="1">IFERROR(__xludf.DUMMYFUNCTION("""COMPUTED_VALUE"""),"Stainless Steel Ice 1A Tanker")</f>
        <v>Stainless Steel Ice 1A Tanker</v>
      </c>
      <c r="C290" s="9">
        <f ca="1">IFERROR(__xludf.DUMMYFUNCTION("""COMPUTED_VALUE"""),8000)</f>
        <v>8000</v>
      </c>
      <c r="D290" s="8" t="str">
        <f ca="1">IFERROR(__xludf.DUMMYFUNCTION("""COMPUTED_VALUE"""),"1993-Italy")</f>
        <v>1993-Italy</v>
      </c>
      <c r="E290" s="8" t="str">
        <f ca="1">IFERROR(__xludf.DUMMYFUNCTION("""COMPUTED_VALUE"""),"124.86 x 17.37")</f>
        <v>124.86 x 17.37</v>
      </c>
      <c r="F290" s="8" t="str">
        <f ca="1">IFERROR(__xludf.DUMMYFUNCTION("""COMPUTED_VALUE"""),"18")</f>
        <v>18</v>
      </c>
      <c r="G290" s="8">
        <f ca="1">IFERROR(__xludf.DUMMYFUNCTION("""COMPUTED_VALUE"""),8639)</f>
        <v>8639</v>
      </c>
      <c r="H290" s="8" t="str">
        <f ca="1">IFERROR(__xludf.DUMMYFUNCTION("""COMPUTED_VALUE"""),"?/Y Stainless Steel")</f>
        <v>?/Y Stainless Steel</v>
      </c>
      <c r="I290" s="8">
        <f ca="1">IFERROR(__xludf.DUMMYFUNCTION("""COMPUTED_VALUE"""),20)</f>
        <v>20</v>
      </c>
      <c r="J290" s="8" t="str">
        <f ca="1">IFERROR(__xludf.DUMMYFUNCTION("""COMPUTED_VALUE"""),"Wartsila")</f>
        <v>Wartsila</v>
      </c>
      <c r="K290" s="8" t="str">
        <f ca="1">IFERROR(__xludf.DUMMYFUNCTION("""COMPUTED_VALUE"""),"-")</f>
        <v>-</v>
      </c>
      <c r="L290" s="8" t="str">
        <f ca="1">IFERROR(__xludf.DUMMYFUNCTION("""COMPUTED_VALUE"""),"To be chkd")</f>
        <v>To be chkd</v>
      </c>
      <c r="M290" s="8" t="str">
        <f ca="1">IFERROR(__xludf.DUMMYFUNCTION("""COMPUTED_VALUE"""),"RINA 2028D")</f>
        <v>RINA 2028D</v>
      </c>
      <c r="N290" s="8" t="str">
        <f ca="1">IFERROR(__xludf.DUMMYFUNCTION("""COMPUTED_VALUE"""),"Check")</f>
        <v>Check</v>
      </c>
      <c r="O290" s="8" t="str">
        <f ca="1">IFERROR(__xludf.DUMMYFUNCTION("""COMPUTED_VALUE"""),"B.offers")</f>
        <v>B.offers</v>
      </c>
    </row>
    <row r="291" spans="1:15" ht="15.75" customHeight="1" x14ac:dyDescent="0.25">
      <c r="A291" s="8" t="str">
        <f ca="1">IFERROR(__xludf.DUMMYFUNCTION("""COMPUTED_VALUE"""),"TA 7995/19")</f>
        <v>TA 7995/19</v>
      </c>
      <c r="B291" s="8" t="str">
        <f ca="1">IFERROR(__xludf.DUMMYFUNCTION("""COMPUTED_VALUE"""),"Modern Bunkering Tanker")</f>
        <v>Modern Bunkering Tanker</v>
      </c>
      <c r="C291" s="9">
        <f ca="1">IFERROR(__xludf.DUMMYFUNCTION("""COMPUTED_VALUE"""),7995)</f>
        <v>7995</v>
      </c>
      <c r="D291" s="8" t="str">
        <f ca="1">IFERROR(__xludf.DUMMYFUNCTION("""COMPUTED_VALUE"""),"2019-China")</f>
        <v>2019-China</v>
      </c>
      <c r="E291" s="8" t="str">
        <f ca="1">IFERROR(__xludf.DUMMYFUNCTION("""COMPUTED_VALUE"""),"114.99 x 19.00")</f>
        <v>114.99 x 19.00</v>
      </c>
      <c r="F291" s="8" t="str">
        <f ca="1">IFERROR(__xludf.DUMMYFUNCTION("""COMPUTED_VALUE"""),"14")</f>
        <v>14</v>
      </c>
      <c r="G291" s="8">
        <f ca="1">IFERROR(__xludf.DUMMYFUNCTION("""COMPUTED_VALUE"""),8986)</f>
        <v>8986</v>
      </c>
      <c r="H291" s="8" t="str">
        <f ca="1">IFERROR(__xludf.DUMMYFUNCTION("""COMPUTED_VALUE"""),"N/Y Epoxy")</f>
        <v>N/Y Epoxy</v>
      </c>
      <c r="I291" s="8" t="str">
        <f ca="1">IFERROR(__xludf.DUMMYFUNCTION("""COMPUTED_VALUE"""),"2 x 1000+1x200")</f>
        <v>2 x 1000+1x200</v>
      </c>
      <c r="J291" s="8" t="str">
        <f ca="1">IFERROR(__xludf.DUMMYFUNCTION("""COMPUTED_VALUE"""),"2 Yanmar")</f>
        <v>2 Yanmar</v>
      </c>
      <c r="K291" s="8" t="str">
        <f ca="1">IFERROR(__xludf.DUMMYFUNCTION("""COMPUTED_VALUE"""),"-")</f>
        <v>-</v>
      </c>
      <c r="L291" s="8" t="str">
        <f ca="1">IFERROR(__xludf.DUMMYFUNCTION("""COMPUTED_VALUE"""),"Fitted")</f>
        <v>Fitted</v>
      </c>
      <c r="M291" s="8" t="str">
        <f ca="1">IFERROR(__xludf.DUMMYFUNCTION("""COMPUTED_VALUE"""),"NK 9/29D")</f>
        <v>NK 9/29D</v>
      </c>
      <c r="N291" s="8" t="str">
        <f ca="1">IFERROR(__xludf.DUMMYFUNCTION("""COMPUTED_VALUE"""),"Gibraltar")</f>
        <v>Gibraltar</v>
      </c>
      <c r="O291" s="8" t="str">
        <f ca="1">IFERROR(__xludf.DUMMYFUNCTION("""COMPUTED_VALUE"""),"18-17 m")</f>
        <v>18-17 m</v>
      </c>
    </row>
    <row r="292" spans="1:15" ht="15.75" customHeight="1" x14ac:dyDescent="0.25">
      <c r="A292" s="8" t="str">
        <f ca="1">IFERROR(__xludf.DUMMYFUNCTION("""COMPUTED_VALUE"""),"TA7990/07")</f>
        <v>TA7990/07</v>
      </c>
      <c r="B292" s="8" t="str">
        <f ca="1">IFERROR(__xludf.DUMMYFUNCTION("""COMPUTED_VALUE"""),"Chemical Tanker")</f>
        <v>Chemical Tanker</v>
      </c>
      <c r="C292" s="9">
        <f ca="1">IFERROR(__xludf.DUMMYFUNCTION("""COMPUTED_VALUE"""),7990)</f>
        <v>7990</v>
      </c>
      <c r="D292" s="8" t="str">
        <f ca="1">IFERROR(__xludf.DUMMYFUNCTION("""COMPUTED_VALUE"""),"2007-Korea")</f>
        <v>2007-Korea</v>
      </c>
      <c r="E292" s="8" t="str">
        <f ca="1">IFERROR(__xludf.DUMMYFUNCTION("""COMPUTED_VALUE"""),"122.99 x 18.20")</f>
        <v>122.99 x 18.20</v>
      </c>
      <c r="F292" s="8" t="str">
        <f ca="1">IFERROR(__xludf.DUMMYFUNCTION("""COMPUTED_VALUE"""),"10")</f>
        <v>10</v>
      </c>
      <c r="G292" s="8">
        <f ca="1">IFERROR(__xludf.DUMMYFUNCTION("""COMPUTED_VALUE"""),8957)</f>
        <v>8957</v>
      </c>
      <c r="H292" s="8" t="str">
        <f ca="1">IFERROR(__xludf.DUMMYFUNCTION("""COMPUTED_VALUE"""),"?/Y Zinc")</f>
        <v>?/Y Zinc</v>
      </c>
      <c r="I292" s="8" t="str">
        <f ca="1">IFERROR(__xludf.DUMMYFUNCTION("""COMPUTED_VALUE"""),"10 x 200")</f>
        <v>10 x 200</v>
      </c>
      <c r="J292" s="8" t="str">
        <f ca="1">IFERROR(__xludf.DUMMYFUNCTION("""COMPUTED_VALUE"""),"Hanshin")</f>
        <v>Hanshin</v>
      </c>
      <c r="K292" s="8" t="str">
        <f ca="1">IFERROR(__xludf.DUMMYFUNCTION("""COMPUTED_VALUE"""),"-")</f>
        <v>-</v>
      </c>
      <c r="L292" s="8" t="str">
        <f ca="1">IFERROR(__xludf.DUMMYFUNCTION("""COMPUTED_VALUE"""),"To be chkd")</f>
        <v>To be chkd</v>
      </c>
      <c r="M292" s="8" t="str">
        <f ca="1">IFERROR(__xludf.DUMMYFUNCTION("""COMPUTED_VALUE"""),"KR 9/27 D")</f>
        <v>KR 9/27 D</v>
      </c>
      <c r="N292" s="8" t="str">
        <f ca="1">IFERROR(__xludf.DUMMYFUNCTION("""COMPUTED_VALUE"""),"Fareast")</f>
        <v>Fareast</v>
      </c>
      <c r="O292" s="8" t="str">
        <f ca="1">IFERROR(__xludf.DUMMYFUNCTION("""COMPUTED_VALUE"""),"B.offers")</f>
        <v>B.offers</v>
      </c>
    </row>
    <row r="293" spans="1:15" ht="15.75" customHeight="1" x14ac:dyDescent="0.25">
      <c r="A293" s="8" t="str">
        <f ca="1">IFERROR(__xludf.DUMMYFUNCTION("""COMPUTED_VALUE"""),"TA 7915/07")</f>
        <v>TA 7915/07</v>
      </c>
      <c r="B293" s="8" t="str">
        <f ca="1">IFERROR(__xludf.DUMMYFUNCTION("""COMPUTED_VALUE"""),"Chemical IMO 2 Tanker")</f>
        <v>Chemical IMO 2 Tanker</v>
      </c>
      <c r="C293" s="9">
        <f ca="1">IFERROR(__xludf.DUMMYFUNCTION("""COMPUTED_VALUE"""),7915)</f>
        <v>7915</v>
      </c>
      <c r="D293" s="8" t="str">
        <f ca="1">IFERROR(__xludf.DUMMYFUNCTION("""COMPUTED_VALUE"""),"2007-Turkey")</f>
        <v>2007-Turkey</v>
      </c>
      <c r="E293" s="8" t="str">
        <f ca="1">IFERROR(__xludf.DUMMYFUNCTION("""COMPUTED_VALUE"""),"120.98 x 17.20")</f>
        <v>120.98 x 17.20</v>
      </c>
      <c r="F293" s="8" t="str">
        <f ca="1">IFERROR(__xludf.DUMMYFUNCTION("""COMPUTED_VALUE"""),"12")</f>
        <v>12</v>
      </c>
      <c r="G293" s="8">
        <f ca="1">IFERROR(__xludf.DUMMYFUNCTION("""COMPUTED_VALUE"""),8066)</f>
        <v>8066</v>
      </c>
      <c r="H293" s="8" t="str">
        <f ca="1">IFERROR(__xludf.DUMMYFUNCTION("""COMPUTED_VALUE"""),"Y/Y Epoxy")</f>
        <v>Y/Y Epoxy</v>
      </c>
      <c r="I293" s="8" t="str">
        <f ca="1">IFERROR(__xludf.DUMMYFUNCTION("""COMPUTED_VALUE"""),"12 pumps")</f>
        <v>12 pumps</v>
      </c>
      <c r="J293" s="8" t="str">
        <f ca="1">IFERROR(__xludf.DUMMYFUNCTION("""COMPUTED_VALUE"""),"MAK")</f>
        <v>MAK</v>
      </c>
      <c r="K293" s="8" t="str">
        <f ca="1">IFERROR(__xludf.DUMMYFUNCTION("""COMPUTED_VALUE"""),"14 k")</f>
        <v>14 k</v>
      </c>
      <c r="L293" s="8" t="str">
        <f ca="1">IFERROR(__xludf.DUMMYFUNCTION("""COMPUTED_VALUE"""),"To be chkd")</f>
        <v>To be chkd</v>
      </c>
      <c r="M293" s="8" t="str">
        <f ca="1">IFERROR(__xludf.DUMMYFUNCTION("""COMPUTED_VALUE"""),"BV 8.27D")</f>
        <v>BV 8.27D</v>
      </c>
      <c r="N293" s="8" t="str">
        <f ca="1">IFERROR(__xludf.DUMMYFUNCTION("""COMPUTED_VALUE"""),"Med")</f>
        <v>Med</v>
      </c>
      <c r="O293" s="8" t="str">
        <f ca="1">IFERROR(__xludf.DUMMYFUNCTION("""COMPUTED_VALUE"""),"B.offers")</f>
        <v>B.offers</v>
      </c>
    </row>
    <row r="294" spans="1:15" ht="15.75" customHeight="1" x14ac:dyDescent="0.25">
      <c r="A294" s="8" t="str">
        <f ca="1">IFERROR(__xludf.DUMMYFUNCTION("""COMPUTED_VALUE"""),"TA 7842/08")</f>
        <v>TA 7842/08</v>
      </c>
      <c r="B294" s="8" t="str">
        <f ca="1">IFERROR(__xludf.DUMMYFUNCTION("""COMPUTED_VALUE"""),"Chemical IMO 2 Ice 1C")</f>
        <v>Chemical IMO 2 Ice 1C</v>
      </c>
      <c r="C294" s="9">
        <f ca="1">IFERROR(__xludf.DUMMYFUNCTION("""COMPUTED_VALUE"""),7842)</f>
        <v>7842</v>
      </c>
      <c r="D294" s="8" t="str">
        <f ca="1">IFERROR(__xludf.DUMMYFUNCTION("""COMPUTED_VALUE"""),"2008-Turkey")</f>
        <v>2008-Turkey</v>
      </c>
      <c r="E294" s="8" t="str">
        <f ca="1">IFERROR(__xludf.DUMMYFUNCTION("""COMPUTED_VALUE"""),"122.52 x 17.20")</f>
        <v>122.52 x 17.20</v>
      </c>
      <c r="F294" s="8" t="str">
        <f ca="1">IFERROR(__xludf.DUMMYFUNCTION("""COMPUTED_VALUE"""),"13")</f>
        <v>13</v>
      </c>
      <c r="G294" s="8">
        <f ca="1">IFERROR(__xludf.DUMMYFUNCTION("""COMPUTED_VALUE"""),8397)</f>
        <v>8397</v>
      </c>
      <c r="H294" s="8" t="str">
        <f ca="1">IFERROR(__xludf.DUMMYFUNCTION("""COMPUTED_VALUE"""),"Y stst/Y Marinel.")</f>
        <v>Y stst/Y Marinel.</v>
      </c>
      <c r="I294" s="8" t="str">
        <f ca="1">IFERROR(__xludf.DUMMYFUNCTION("""COMPUTED_VALUE"""),"12x300+1x100+70")</f>
        <v>12x300+1x100+70</v>
      </c>
      <c r="J294" s="8" t="str">
        <f ca="1">IFERROR(__xludf.DUMMYFUNCTION("""COMPUTED_VALUE"""),"MAK")</f>
        <v>MAK</v>
      </c>
      <c r="K294" s="8" t="str">
        <f ca="1">IFERROR(__xludf.DUMMYFUNCTION("""COMPUTED_VALUE"""),"13/12k-11t GO")</f>
        <v>13/12k-11t GO</v>
      </c>
      <c r="L294" s="8" t="str">
        <f ca="1">IFERROR(__xludf.DUMMYFUNCTION("""COMPUTED_VALUE"""),"To be chkd")</f>
        <v>To be chkd</v>
      </c>
      <c r="M294" s="8" t="str">
        <f ca="1">IFERROR(__xludf.DUMMYFUNCTION("""COMPUTED_VALUE"""),"BV 7/28D")</f>
        <v>BV 7/28D</v>
      </c>
      <c r="N294" s="8" t="str">
        <f ca="1">IFERROR(__xludf.DUMMYFUNCTION("""COMPUTED_VALUE"""),"Med/B.Sea")</f>
        <v>Med/B.Sea</v>
      </c>
      <c r="O294" s="8" t="str">
        <f ca="1">IFERROR(__xludf.DUMMYFUNCTION("""COMPUTED_VALUE"""),"B.offers")</f>
        <v>B.offers</v>
      </c>
    </row>
    <row r="295" spans="1:15" ht="15.75" customHeight="1" x14ac:dyDescent="0.25">
      <c r="A295" s="8" t="str">
        <f ca="1">IFERROR(__xludf.DUMMYFUNCTION("""COMPUTED_VALUE"""),"TA 7789/07")</f>
        <v>TA 7789/07</v>
      </c>
      <c r="B295" s="8" t="str">
        <f ca="1">IFERROR(__xludf.DUMMYFUNCTION("""COMPUTED_VALUE"""),"CPP Oil Tanker")</f>
        <v>CPP Oil Tanker</v>
      </c>
      <c r="C295" s="9">
        <f ca="1">IFERROR(__xludf.DUMMYFUNCTION("""COMPUTED_VALUE"""),7789)</f>
        <v>7789</v>
      </c>
      <c r="D295" s="8" t="str">
        <f ca="1">IFERROR(__xludf.DUMMYFUNCTION("""COMPUTED_VALUE"""),"2007-China")</f>
        <v>2007-China</v>
      </c>
      <c r="E295" s="8" t="str">
        <f ca="1">IFERROR(__xludf.DUMMYFUNCTION("""COMPUTED_VALUE"""),"122.96 x 16.80")</f>
        <v>122.96 x 16.80</v>
      </c>
      <c r="F295" s="8" t="str">
        <f ca="1">IFERROR(__xludf.DUMMYFUNCTION("""COMPUTED_VALUE"""),"12")</f>
        <v>12</v>
      </c>
      <c r="G295" s="8">
        <f ca="1">IFERROR(__xludf.DUMMYFUNCTION("""COMPUTED_VALUE"""),8823)</f>
        <v>8823</v>
      </c>
      <c r="H295" s="8" t="str">
        <f ca="1">IFERROR(__xludf.DUMMYFUNCTION("""COMPUTED_VALUE"""),"N/Y Epoxy")</f>
        <v>N/Y Epoxy</v>
      </c>
      <c r="I295" s="8" t="str">
        <f ca="1">IFERROR(__xludf.DUMMYFUNCTION("""COMPUTED_VALUE"""),"1 x 750 + 1 x 500 centr")</f>
        <v>1 x 750 + 1 x 500 centr</v>
      </c>
      <c r="J295" s="8" t="str">
        <f ca="1">IFERROR(__xludf.DUMMYFUNCTION("""COMPUTED_VALUE"""),"SXD 8DKM-28")</f>
        <v>SXD 8DKM-28</v>
      </c>
      <c r="K295" s="8"/>
      <c r="L295" s="8" t="str">
        <f ca="1">IFERROR(__xludf.DUMMYFUNCTION("""COMPUTED_VALUE"""),"Fitted")</f>
        <v>Fitted</v>
      </c>
      <c r="M295" s="8" t="str">
        <f ca="1">IFERROR(__xludf.DUMMYFUNCTION("""COMPUTED_VALUE"""),"IBS Class")</f>
        <v>IBS Class</v>
      </c>
      <c r="N295" s="8" t="str">
        <f ca="1">IFERROR(__xludf.DUMMYFUNCTION("""COMPUTED_VALUE"""),"China")</f>
        <v>China</v>
      </c>
      <c r="O295" s="8" t="str">
        <f ca="1">IFERROR(__xludf.DUMMYFUNCTION("""COMPUTED_VALUE"""),"B.offers")</f>
        <v>B.offers</v>
      </c>
    </row>
    <row r="296" spans="1:15" ht="15.75" customHeight="1" x14ac:dyDescent="0.25">
      <c r="A296" s="8" t="str">
        <f ca="1">IFERROR(__xludf.DUMMYFUNCTION("""COMPUTED_VALUE"""),"TA 7600/11")</f>
        <v>TA 7600/11</v>
      </c>
      <c r="B296" s="8" t="str">
        <f ca="1">IFERROR(__xludf.DUMMYFUNCTION("""COMPUTED_VALUE"""),"Asphalt/Bitumen Tanker")</f>
        <v>Asphalt/Bitumen Tanker</v>
      </c>
      <c r="C296" s="9">
        <f ca="1">IFERROR(__xludf.DUMMYFUNCTION("""COMPUTED_VALUE"""),7600)</f>
        <v>7600</v>
      </c>
      <c r="D296" s="8" t="str">
        <f ca="1">IFERROR(__xludf.DUMMYFUNCTION("""COMPUTED_VALUE"""),"2011-China")</f>
        <v>2011-China</v>
      </c>
      <c r="E296" s="8" t="str">
        <f ca="1">IFERROR(__xludf.DUMMYFUNCTION("""COMPUTED_VALUE"""),"112.21 x 19.00")</f>
        <v>112.21 x 19.00</v>
      </c>
      <c r="F296" s="8" t="str">
        <f ca="1">IFERROR(__xludf.DUMMYFUNCTION("""COMPUTED_VALUE"""),"4")</f>
        <v>4</v>
      </c>
      <c r="G296" s="8">
        <f ca="1">IFERROR(__xludf.DUMMYFUNCTION("""COMPUTED_VALUE"""),7500)</f>
        <v>7500</v>
      </c>
      <c r="H296" s="8" t="str">
        <f ca="1">IFERROR(__xludf.DUMMYFUNCTION("""COMPUTED_VALUE"""),"Y/N")</f>
        <v>Y/N</v>
      </c>
      <c r="I296" s="8" t="str">
        <f ca="1">IFERROR(__xludf.DUMMYFUNCTION("""COMPUTED_VALUE"""),"2 x 500")</f>
        <v>2 x 500</v>
      </c>
      <c r="J296" s="8" t="str">
        <f ca="1">IFERROR(__xludf.DUMMYFUNCTION("""COMPUTED_VALUE"""),"MAN")</f>
        <v>MAN</v>
      </c>
      <c r="K296" s="8" t="str">
        <f ca="1">IFERROR(__xludf.DUMMYFUNCTION("""COMPUTED_VALUE"""),"-")</f>
        <v>-</v>
      </c>
      <c r="L296" s="8" t="str">
        <f ca="1">IFERROR(__xludf.DUMMYFUNCTION("""COMPUTED_VALUE"""),"To be chkd")</f>
        <v>To be chkd</v>
      </c>
      <c r="M296" s="8" t="str">
        <f ca="1">IFERROR(__xludf.DUMMYFUNCTION("""COMPUTED_VALUE"""),"KR 1/26D")</f>
        <v>KR 1/26D</v>
      </c>
      <c r="N296" s="8" t="str">
        <f ca="1">IFERROR(__xludf.DUMMYFUNCTION("""COMPUTED_VALUE"""),"Fareast")</f>
        <v>Fareast</v>
      </c>
      <c r="O296" s="8" t="str">
        <f ca="1">IFERROR(__xludf.DUMMYFUNCTION("""COMPUTED_VALUE"""),"12.0 m")</f>
        <v>12.0 m</v>
      </c>
    </row>
    <row r="297" spans="1:15" ht="15.75" customHeight="1" x14ac:dyDescent="0.25">
      <c r="A297" s="8" t="str">
        <f ca="1">IFERROR(__xludf.DUMMYFUNCTION("""COMPUTED_VALUE"""),"TA 7562/19")</f>
        <v>TA 7562/19</v>
      </c>
      <c r="B297" s="8" t="str">
        <f ca="1">IFERROR(__xludf.DUMMYFUNCTION("""COMPUTED_VALUE"""),"Oil Tanker Ice II")</f>
        <v>Oil Tanker Ice II</v>
      </c>
      <c r="C297" s="9">
        <f ca="1">IFERROR(__xludf.DUMMYFUNCTION("""COMPUTED_VALUE"""),7562)</f>
        <v>7562</v>
      </c>
      <c r="D297" s="8" t="str">
        <f ca="1">IFERROR(__xludf.DUMMYFUNCTION("""COMPUTED_VALUE"""),"2019-China")</f>
        <v>2019-China</v>
      </c>
      <c r="E297" s="8" t="str">
        <f ca="1">IFERROR(__xludf.DUMMYFUNCTION("""COMPUTED_VALUE"""),"119.80 x 17.20")</f>
        <v>119.80 x 17.20</v>
      </c>
      <c r="F297" s="8" t="str">
        <f ca="1">IFERROR(__xludf.DUMMYFUNCTION("""COMPUTED_VALUE"""),"13")</f>
        <v>13</v>
      </c>
      <c r="G297" s="8">
        <f ca="1">IFERROR(__xludf.DUMMYFUNCTION("""COMPUTED_VALUE"""),8933)</f>
        <v>8933</v>
      </c>
      <c r="H297" s="8" t="str">
        <f ca="1">IFERROR(__xludf.DUMMYFUNCTION("""COMPUTED_VALUE"""),"?/Y Epoxy")</f>
        <v>?/Y Epoxy</v>
      </c>
      <c r="I297" s="8" t="str">
        <f ca="1">IFERROR(__xludf.DUMMYFUNCTION("""COMPUTED_VALUE"""),"-")</f>
        <v>-</v>
      </c>
      <c r="J297" s="8" t="str">
        <f ca="1">IFERROR(__xludf.DUMMYFUNCTION("""COMPUTED_VALUE"""),"Chinese Std")</f>
        <v>Chinese Std</v>
      </c>
      <c r="K297" s="8" t="str">
        <f ca="1">IFERROR(__xludf.DUMMYFUNCTION("""COMPUTED_VALUE"""),"-")</f>
        <v>-</v>
      </c>
      <c r="L297" s="8" t="str">
        <f ca="1">IFERROR(__xludf.DUMMYFUNCTION("""COMPUTED_VALUE"""),"To be chkd")</f>
        <v>To be chkd</v>
      </c>
      <c r="M297" s="8" t="str">
        <f ca="1">IFERROR(__xludf.DUMMYFUNCTION("""COMPUTED_VALUE"""),"CCS 5/24P")</f>
        <v>CCS 5/24P</v>
      </c>
      <c r="N297" s="8" t="str">
        <f ca="1">IFERROR(__xludf.DUMMYFUNCTION("""COMPUTED_VALUE"""),"Fareast")</f>
        <v>Fareast</v>
      </c>
      <c r="O297" s="8" t="str">
        <f ca="1">IFERROR(__xludf.DUMMYFUNCTION("""COMPUTED_VALUE"""),"B.offers")</f>
        <v>B.offers</v>
      </c>
    </row>
    <row r="298" spans="1:15" ht="15.75" customHeight="1" x14ac:dyDescent="0.25">
      <c r="A298" s="8" t="str">
        <f ca="1">IFERROR(__xludf.DUMMYFUNCTION("""COMPUTED_VALUE"""),"TA 7514/23")</f>
        <v>TA 7514/23</v>
      </c>
      <c r="B298" s="8" t="str">
        <f ca="1">IFERROR(__xludf.DUMMYFUNCTION("""COMPUTED_VALUE"""),"StSt Chem.IMO2 IceB")</f>
        <v>StSt Chem.IMO2 IceB</v>
      </c>
      <c r="C298" s="9">
        <f ca="1">IFERROR(__xludf.DUMMYFUNCTION("""COMPUTED_VALUE"""),7514)</f>
        <v>7514</v>
      </c>
      <c r="D298" s="8" t="str">
        <f ca="1">IFERROR(__xludf.DUMMYFUNCTION("""COMPUTED_VALUE"""),"2023-China")</f>
        <v>2023-China</v>
      </c>
      <c r="E298" s="8" t="str">
        <f ca="1">IFERROR(__xludf.DUMMYFUNCTION("""COMPUTED_VALUE"""),"115.00 x 18.40")</f>
        <v>115.00 x 18.40</v>
      </c>
      <c r="F298" s="8" t="str">
        <f ca="1">IFERROR(__xludf.DUMMYFUNCTION("""COMPUTED_VALUE"""),"10")</f>
        <v>10</v>
      </c>
      <c r="G298" s="8">
        <f ca="1">IFERROR(__xludf.DUMMYFUNCTION("""COMPUTED_VALUE"""),8330)</f>
        <v>8330</v>
      </c>
      <c r="H298" s="8" t="str">
        <f ca="1">IFERROR(__xludf.DUMMYFUNCTION("""COMPUTED_VALUE"""),"Y stst/Y stst")</f>
        <v>Y stst/Y stst</v>
      </c>
      <c r="I298" s="8" t="str">
        <f ca="1">IFERROR(__xludf.DUMMYFUNCTION("""COMPUTED_VALUE"""),"10 x 200 centrif")</f>
        <v>10 x 200 centrif</v>
      </c>
      <c r="J298" s="8" t="str">
        <f ca="1">IFERROR(__xludf.DUMMYFUNCTION("""COMPUTED_VALUE"""),"Shaanxi")</f>
        <v>Shaanxi</v>
      </c>
      <c r="K298" s="8" t="str">
        <f ca="1">IFERROR(__xludf.DUMMYFUNCTION("""COMPUTED_VALUE"""),"-")</f>
        <v>-</v>
      </c>
      <c r="L298" s="8" t="str">
        <f ca="1">IFERROR(__xludf.DUMMYFUNCTION("""COMPUTED_VALUE"""),"To be chkd")</f>
        <v>To be chkd</v>
      </c>
      <c r="M298" s="8" t="str">
        <f ca="1">IFERROR(__xludf.DUMMYFUNCTION("""COMPUTED_VALUE"""),"CCS 11/28D")</f>
        <v>CCS 11/28D</v>
      </c>
      <c r="N298" s="8" t="str">
        <f ca="1">IFERROR(__xludf.DUMMYFUNCTION("""COMPUTED_VALUE"""),"China")</f>
        <v>China</v>
      </c>
      <c r="O298" s="8" t="str">
        <f ca="1">IFERROR(__xludf.DUMMYFUNCTION("""COMPUTED_VALUE"""),"B.offers")</f>
        <v>B.offers</v>
      </c>
    </row>
    <row r="299" spans="1:15" ht="15.75" customHeight="1" x14ac:dyDescent="0.25">
      <c r="A299" s="8" t="str">
        <f ca="1">IFERROR(__xludf.DUMMYFUNCTION("""COMPUTED_VALUE"""),"TA 7511/07")</f>
        <v>TA 7511/07</v>
      </c>
      <c r="B299" s="8" t="str">
        <f ca="1">IFERROR(__xludf.DUMMYFUNCTION("""COMPUTED_VALUE"""),"CPP Bunkering Tanker")</f>
        <v>CPP Bunkering Tanker</v>
      </c>
      <c r="C299" s="9">
        <f ca="1">IFERROR(__xludf.DUMMYFUNCTION("""COMPUTED_VALUE"""),7511)</f>
        <v>7511</v>
      </c>
      <c r="D299" s="8" t="str">
        <f ca="1">IFERROR(__xludf.DUMMYFUNCTION("""COMPUTED_VALUE"""),"2007-UAE")</f>
        <v>2007-UAE</v>
      </c>
      <c r="E299" s="8" t="str">
        <f ca="1">IFERROR(__xludf.DUMMYFUNCTION("""COMPUTED_VALUE"""),"101.08 x 18.00")</f>
        <v>101.08 x 18.00</v>
      </c>
      <c r="F299" s="8" t="str">
        <f ca="1">IFERROR(__xludf.DUMMYFUNCTION("""COMPUTED_VALUE"""),"10")</f>
        <v>10</v>
      </c>
      <c r="G299" s="8">
        <f ca="1">IFERROR(__xludf.DUMMYFUNCTION("""COMPUTED_VALUE"""),6781)</f>
        <v>6781</v>
      </c>
      <c r="H299" s="8" t="str">
        <f ca="1">IFERROR(__xludf.DUMMYFUNCTION("""COMPUTED_VALUE"""),"N/Y Epoxy")</f>
        <v>N/Y Epoxy</v>
      </c>
      <c r="I299" s="8" t="str">
        <f ca="1">IFERROR(__xludf.DUMMYFUNCTION("""COMPUTED_VALUE"""),"2x500_1x150")</f>
        <v>2x500_1x150</v>
      </c>
      <c r="J299" s="8" t="str">
        <f ca="1">IFERROR(__xludf.DUMMYFUNCTION("""COMPUTED_VALUE"""),"Yanmar")</f>
        <v>Yanmar</v>
      </c>
      <c r="K299" s="8" t="str">
        <f ca="1">IFERROR(__xludf.DUMMYFUNCTION("""COMPUTED_VALUE"""),"-")</f>
        <v>-</v>
      </c>
      <c r="L299" s="8" t="str">
        <f ca="1">IFERROR(__xludf.DUMMYFUNCTION("""COMPUTED_VALUE"""),"To be chkd")</f>
        <v>To be chkd</v>
      </c>
      <c r="M299" s="8" t="str">
        <f ca="1">IFERROR(__xludf.DUMMYFUNCTION("""COMPUTED_VALUE"""),"RI 6/27D")</f>
        <v>RI 6/27D</v>
      </c>
      <c r="N299" s="8" t="str">
        <f ca="1">IFERROR(__xludf.DUMMYFUNCTION("""COMPUTED_VALUE"""),"Fujairah")</f>
        <v>Fujairah</v>
      </c>
      <c r="O299" s="8" t="str">
        <f ca="1">IFERROR(__xludf.DUMMYFUNCTION("""COMPUTED_VALUE"""),"Withdrawn")</f>
        <v>Withdrawn</v>
      </c>
    </row>
    <row r="300" spans="1:15" ht="15.75" customHeight="1" x14ac:dyDescent="0.25">
      <c r="A300" s="8" t="str">
        <f ca="1">IFERROR(__xludf.DUMMYFUNCTION("""COMPUTED_VALUE"""),"TA 7500/24")</f>
        <v>TA 7500/24</v>
      </c>
      <c r="B300" s="8" t="str">
        <f ca="1">IFERROR(__xludf.DUMMYFUNCTION("""COMPUTED_VALUE"""),"Bunkering Tanker")</f>
        <v>Bunkering Tanker</v>
      </c>
      <c r="C300" s="9">
        <f ca="1">IFERROR(__xludf.DUMMYFUNCTION("""COMPUTED_VALUE"""),7500)</f>
        <v>7500</v>
      </c>
      <c r="D300" s="8" t="str">
        <f ca="1">IFERROR(__xludf.DUMMYFUNCTION("""COMPUTED_VALUE"""),"2024-China")</f>
        <v>2024-China</v>
      </c>
      <c r="E300" s="8" t="str">
        <f ca="1">IFERROR(__xludf.DUMMYFUNCTION("""COMPUTED_VALUE"""),"119.72 x 17.40")</f>
        <v>119.72 x 17.40</v>
      </c>
      <c r="F300" s="8" t="str">
        <f ca="1">IFERROR(__xludf.DUMMYFUNCTION("""COMPUTED_VALUE"""),"12")</f>
        <v>12</v>
      </c>
      <c r="G300" s="8">
        <f ca="1">IFERROR(__xludf.DUMMYFUNCTION("""COMPUTED_VALUE"""),8545)</f>
        <v>8545</v>
      </c>
      <c r="H300" s="8" t="str">
        <f ca="1">IFERROR(__xludf.DUMMYFUNCTION("""COMPUTED_VALUE"""),"N/Y Antirust oil")</f>
        <v>N/Y Antirust oil</v>
      </c>
      <c r="I300" s="8" t="str">
        <f ca="1">IFERROR(__xludf.DUMMYFUNCTION("""COMPUTED_VALUE"""),"1 x 1000 +1 x 750")</f>
        <v>1 x 1000 +1 x 750</v>
      </c>
      <c r="J300" s="8" t="str">
        <f ca="1">IFERROR(__xludf.DUMMYFUNCTION("""COMPUTED_VALUE"""),"Chinese")</f>
        <v>Chinese</v>
      </c>
      <c r="K300" s="8" t="str">
        <f ca="1">IFERROR(__xludf.DUMMYFUNCTION("""COMPUTED_VALUE"""),"-")</f>
        <v>-</v>
      </c>
      <c r="L300" s="8" t="str">
        <f ca="1">IFERROR(__xludf.DUMMYFUNCTION("""COMPUTED_VALUE"""),"To be chkd")</f>
        <v>To be chkd</v>
      </c>
      <c r="M300" s="8" t="str">
        <f ca="1">IFERROR(__xludf.DUMMYFUNCTION("""COMPUTED_VALUE"""),"CCS 2029D")</f>
        <v>CCS 2029D</v>
      </c>
      <c r="N300" s="8" t="str">
        <f ca="1">IFERROR(__xludf.DUMMYFUNCTION("""COMPUTED_VALUE"""),"China")</f>
        <v>China</v>
      </c>
      <c r="O300" s="8" t="str">
        <f ca="1">IFERROR(__xludf.DUMMYFUNCTION("""COMPUTED_VALUE"""),"B.offers")</f>
        <v>B.offers</v>
      </c>
    </row>
    <row r="301" spans="1:15" ht="15.75" customHeight="1" x14ac:dyDescent="0.25">
      <c r="A301" s="8" t="str">
        <f ca="1">IFERROR(__xludf.DUMMYFUNCTION("""COMPUTED_VALUE"""),"TA 7486/20")</f>
        <v>TA 7486/20</v>
      </c>
      <c r="B301" s="8" t="str">
        <f ca="1">IFERROR(__xludf.DUMMYFUNCTION("""COMPUTED_VALUE"""),"Products/Chemical IMO 2+3 Tk")</f>
        <v>Products/Chemical IMO 2+3 Tk</v>
      </c>
      <c r="C301" s="9">
        <f ca="1">IFERROR(__xludf.DUMMYFUNCTION("""COMPUTED_VALUE"""),7486)</f>
        <v>7486</v>
      </c>
      <c r="D301" s="8" t="str">
        <f ca="1">IFERROR(__xludf.DUMMYFUNCTION("""COMPUTED_VALUE"""),"2020-China")</f>
        <v>2020-China</v>
      </c>
      <c r="E301" s="8" t="str">
        <f ca="1">IFERROR(__xludf.DUMMYFUNCTION("""COMPUTED_VALUE"""),"124.88 x 17.40")</f>
        <v>124.88 x 17.40</v>
      </c>
      <c r="F301" s="8" t="str">
        <f ca="1">IFERROR(__xludf.DUMMYFUNCTION("""COMPUTED_VALUE"""),"12")</f>
        <v>12</v>
      </c>
      <c r="G301" s="8">
        <f ca="1">IFERROR(__xludf.DUMMYFUNCTION("""COMPUTED_VALUE"""),10227)</f>
        <v>10227</v>
      </c>
      <c r="H301" s="8" t="str">
        <f ca="1">IFERROR(__xludf.DUMMYFUNCTION("""COMPUTED_VALUE"""),"Y stst/Y Epoxy")</f>
        <v>Y stst/Y Epoxy</v>
      </c>
      <c r="I301" s="8" t="str">
        <f ca="1">IFERROR(__xludf.DUMMYFUNCTION("""COMPUTED_VALUE"""),"2 x 750 screw")</f>
        <v>2 x 750 screw</v>
      </c>
      <c r="J301" s="8" t="str">
        <f ca="1">IFERROR(__xludf.DUMMYFUNCTION("""COMPUTED_VALUE"""),"Guangzhou")</f>
        <v>Guangzhou</v>
      </c>
      <c r="K301" s="8" t="str">
        <f ca="1">IFERROR(__xludf.DUMMYFUNCTION("""COMPUTED_VALUE"""),"11.8 k")</f>
        <v>11.8 k</v>
      </c>
      <c r="L301" s="8" t="str">
        <f ca="1">IFERROR(__xludf.DUMMYFUNCTION("""COMPUTED_VALUE"""),"To be chkd")</f>
        <v>To be chkd</v>
      </c>
      <c r="M301" s="8" t="str">
        <f ca="1">IFERROR(__xludf.DUMMYFUNCTION("""COMPUTED_VALUE"""),"OMCS 1/26D")</f>
        <v>OMCS 1/26D</v>
      </c>
      <c r="N301" s="8" t="str">
        <f ca="1">IFERROR(__xludf.DUMMYFUNCTION("""COMPUTED_VALUE"""),"Fareast")</f>
        <v>Fareast</v>
      </c>
      <c r="O301" s="8" t="str">
        <f ca="1">IFERROR(__xludf.DUMMYFUNCTION("""COMPUTED_VALUE"""),"B.offers")</f>
        <v>B.offers</v>
      </c>
    </row>
    <row r="302" spans="1:15" ht="15.75" customHeight="1" x14ac:dyDescent="0.25">
      <c r="A302" s="8" t="str">
        <f ca="1">IFERROR(__xludf.DUMMYFUNCTION("""COMPUTED_VALUE"""),"TA 7479/04")</f>
        <v>TA 7479/04</v>
      </c>
      <c r="B302" s="8" t="str">
        <f ca="1">IFERROR(__xludf.DUMMYFUNCTION("""COMPUTED_VALUE"""),"Prods/Chemical Tanker")</f>
        <v>Prods/Chemical Tanker</v>
      </c>
      <c r="C302" s="9">
        <f ca="1">IFERROR(__xludf.DUMMYFUNCTION("""COMPUTED_VALUE"""),7479)</f>
        <v>7479</v>
      </c>
      <c r="D302" s="8" t="str">
        <f ca="1">IFERROR(__xludf.DUMMYFUNCTION("""COMPUTED_VALUE"""),"2004-German")</f>
        <v>2004-German</v>
      </c>
      <c r="E302" s="8" t="str">
        <f ca="1">IFERROR(__xludf.DUMMYFUNCTION("""COMPUTED_VALUE"""),"116.3 x 15.11")</f>
        <v>116.3 x 15.11</v>
      </c>
      <c r="F302" s="8" t="str">
        <f ca="1">IFERROR(__xludf.DUMMYFUNCTION("""COMPUTED_VALUE"""),"14")</f>
        <v>14</v>
      </c>
      <c r="G302" s="8">
        <f ca="1">IFERROR(__xludf.DUMMYFUNCTION("""COMPUTED_VALUE"""),8046)</f>
        <v>8046</v>
      </c>
      <c r="H302" s="8" t="str">
        <f ca="1">IFERROR(__xludf.DUMMYFUNCTION("""COMPUTED_VALUE"""),"N/Y Epoxy")</f>
        <v>N/Y Epoxy</v>
      </c>
      <c r="I302" s="8" t="str">
        <f ca="1">IFERROR(__xludf.DUMMYFUNCTION("""COMPUTED_VALUE"""),"5 x 300")</f>
        <v>5 x 300</v>
      </c>
      <c r="J302" s="8" t="str">
        <f ca="1">IFERROR(__xludf.DUMMYFUNCTION("""COMPUTED_VALUE"""),"MAK")</f>
        <v>MAK</v>
      </c>
      <c r="K302" s="8" t="str">
        <f ca="1">IFERROR(__xludf.DUMMYFUNCTION("""COMPUTED_VALUE"""),"-")</f>
        <v>-</v>
      </c>
      <c r="L302" s="8" t="str">
        <f ca="1">IFERROR(__xludf.DUMMYFUNCTION("""COMPUTED_VALUE"""),"Fitted")</f>
        <v>Fitted</v>
      </c>
      <c r="M302" s="8" t="str">
        <f ca="1">IFERROR(__xludf.DUMMYFUNCTION("""COMPUTED_VALUE"""),"BV Ice 1A")</f>
        <v>BV Ice 1A</v>
      </c>
      <c r="N302" s="8" t="str">
        <f ca="1">IFERROR(__xludf.DUMMYFUNCTION("""COMPUTED_VALUE"""),"N.Europe")</f>
        <v>N.Europe</v>
      </c>
      <c r="O302" s="8" t="str">
        <f ca="1">IFERROR(__xludf.DUMMYFUNCTION("""COMPUTED_VALUE"""),"B.offers")</f>
        <v>B.offers</v>
      </c>
    </row>
    <row r="303" spans="1:15" ht="15.75" customHeight="1" x14ac:dyDescent="0.25">
      <c r="A303" s="8" t="str">
        <f ca="1">IFERROR(__xludf.DUMMYFUNCTION("""COMPUTED_VALUE"""),"TA 7463/11")</f>
        <v>TA 7463/11</v>
      </c>
      <c r="B303" s="8" t="str">
        <f ca="1">IFERROR(__xludf.DUMMYFUNCTION("""COMPUTED_VALUE"""),"Products Tanker")</f>
        <v>Products Tanker</v>
      </c>
      <c r="C303" s="9">
        <f ca="1">IFERROR(__xludf.DUMMYFUNCTION("""COMPUTED_VALUE"""),7463)</f>
        <v>7463</v>
      </c>
      <c r="D303" s="8" t="str">
        <f ca="1">IFERROR(__xludf.DUMMYFUNCTION("""COMPUTED_VALUE"""),"2011-China")</f>
        <v>2011-China</v>
      </c>
      <c r="E303" s="8" t="str">
        <f ca="1">IFERROR(__xludf.DUMMYFUNCTION("""COMPUTED_VALUE"""),"119.9 x 16.70")</f>
        <v>119.9 x 16.70</v>
      </c>
      <c r="F303" s="8" t="str">
        <f ca="1">IFERROR(__xludf.DUMMYFUNCTION("""COMPUTED_VALUE"""),"10")</f>
        <v>10</v>
      </c>
      <c r="G303" s="8">
        <f ca="1">IFERROR(__xludf.DUMMYFUNCTION("""COMPUTED_VALUE"""),8700)</f>
        <v>8700</v>
      </c>
      <c r="H303" s="8" t="str">
        <f ca="1">IFERROR(__xludf.DUMMYFUNCTION("""COMPUTED_VALUE"""),"N/Y Epoxy")</f>
        <v>N/Y Epoxy</v>
      </c>
      <c r="I303" s="8" t="str">
        <f ca="1">IFERROR(__xludf.DUMMYFUNCTION("""COMPUTED_VALUE"""),"2 x 600")</f>
        <v>2 x 600</v>
      </c>
      <c r="J303" s="8" t="str">
        <f ca="1">IFERROR(__xludf.DUMMYFUNCTION("""COMPUTED_VALUE"""),"Chinese Std")</f>
        <v>Chinese Std</v>
      </c>
      <c r="K303" s="8" t="str">
        <f ca="1">IFERROR(__xludf.DUMMYFUNCTION("""COMPUTED_VALUE"""),"-")</f>
        <v>-</v>
      </c>
      <c r="L303" s="8" t="str">
        <f ca="1">IFERROR(__xludf.DUMMYFUNCTION("""COMPUTED_VALUE"""),"To be chkd")</f>
        <v>To be chkd</v>
      </c>
      <c r="M303" s="8" t="str">
        <f ca="1">IFERROR(__xludf.DUMMYFUNCTION("""COMPUTED_VALUE"""),"CCS Domest")</f>
        <v>CCS Domest</v>
      </c>
      <c r="N303" s="8" t="str">
        <f ca="1">IFERROR(__xludf.DUMMYFUNCTION("""COMPUTED_VALUE"""),"China")</f>
        <v>China</v>
      </c>
      <c r="O303" s="8" t="str">
        <f ca="1">IFERROR(__xludf.DUMMYFUNCTION("""COMPUTED_VALUE"""),"B.offers")</f>
        <v>B.offers</v>
      </c>
    </row>
    <row r="304" spans="1:15" ht="15.75" customHeight="1" x14ac:dyDescent="0.25">
      <c r="A304" s="8" t="str">
        <f ca="1">IFERROR(__xludf.DUMMYFUNCTION("""COMPUTED_VALUE"""),"TA 7449/99")</f>
        <v>TA 7449/99</v>
      </c>
      <c r="B304" s="8" t="str">
        <f ca="1">IFERROR(__xludf.DUMMYFUNCTION("""COMPUTED_VALUE"""),"CPP Products Tanker")</f>
        <v>CPP Products Tanker</v>
      </c>
      <c r="C304" s="9">
        <f ca="1">IFERROR(__xludf.DUMMYFUNCTION("""COMPUTED_VALUE"""),7449)</f>
        <v>7449</v>
      </c>
      <c r="D304" s="8" t="str">
        <f ca="1">IFERROR(__xludf.DUMMYFUNCTION("""COMPUTED_VALUE"""),"1999-Singapore")</f>
        <v>1999-Singapore</v>
      </c>
      <c r="E304" s="8" t="str">
        <f ca="1">IFERROR(__xludf.DUMMYFUNCTION("""COMPUTED_VALUE"""),"104.99 x 19.05")</f>
        <v>104.99 x 19.05</v>
      </c>
      <c r="F304" s="8" t="str">
        <f ca="1">IFERROR(__xludf.DUMMYFUNCTION("""COMPUTED_VALUE"""),"12")</f>
        <v>12</v>
      </c>
      <c r="G304" s="8">
        <f ca="1">IFERROR(__xludf.DUMMYFUNCTION("""COMPUTED_VALUE"""),8322)</f>
        <v>8322</v>
      </c>
      <c r="H304" s="8" t="str">
        <f ca="1">IFERROR(__xludf.DUMMYFUNCTION("""COMPUTED_VALUE"""),"N/Y Epoxy")</f>
        <v>N/Y Epoxy</v>
      </c>
      <c r="I304" s="8" t="str">
        <f ca="1">IFERROR(__xludf.DUMMYFUNCTION("""COMPUTED_VALUE"""),"3 x 500 (Screw)")</f>
        <v>3 x 500 (Screw)</v>
      </c>
      <c r="J304" s="8" t="str">
        <f ca="1">IFERROR(__xludf.DUMMYFUNCTION("""COMPUTED_VALUE"""),"Wartsila")</f>
        <v>Wartsila</v>
      </c>
      <c r="K304" s="8" t="str">
        <f ca="1">IFERROR(__xludf.DUMMYFUNCTION("""COMPUTED_VALUE"""),"-")</f>
        <v>-</v>
      </c>
      <c r="L304" s="8" t="str">
        <f ca="1">IFERROR(__xludf.DUMMYFUNCTION("""COMPUTED_VALUE"""),"Fitted")</f>
        <v>Fitted</v>
      </c>
      <c r="M304" s="8" t="str">
        <f ca="1">IFERROR(__xludf.DUMMYFUNCTION("""COMPUTED_VALUE"""),"KR 12/29D")</f>
        <v>KR 12/29D</v>
      </c>
      <c r="N304" s="8" t="str">
        <f ca="1">IFERROR(__xludf.DUMMYFUNCTION("""COMPUTED_VALUE"""),"AG")</f>
        <v>AG</v>
      </c>
      <c r="O304" s="8" t="str">
        <f ca="1">IFERROR(__xludf.DUMMYFUNCTION("""COMPUTED_VALUE"""),"B.offers")</f>
        <v>B.offers</v>
      </c>
    </row>
    <row r="305" spans="1:15" ht="15.75" customHeight="1" x14ac:dyDescent="0.25">
      <c r="A305" s="8" t="str">
        <f ca="1">IFERROR(__xludf.DUMMYFUNCTION("""COMPUTED_VALUE"""),"TA 7438/07")</f>
        <v>TA 7438/07</v>
      </c>
      <c r="B305" s="8" t="str">
        <f ca="1">IFERROR(__xludf.DUMMYFUNCTION("""COMPUTED_VALUE"""),"CPP Oil Ice B Tanker")</f>
        <v>CPP Oil Ice B Tanker</v>
      </c>
      <c r="C305" s="9">
        <f ca="1">IFERROR(__xludf.DUMMYFUNCTION("""COMPUTED_VALUE"""),7438)</f>
        <v>7438</v>
      </c>
      <c r="D305" s="8" t="str">
        <f ca="1">IFERROR(__xludf.DUMMYFUNCTION("""COMPUTED_VALUE"""),"2007-China")</f>
        <v>2007-China</v>
      </c>
      <c r="E305" s="8" t="str">
        <f ca="1">IFERROR(__xludf.DUMMYFUNCTION("""COMPUTED_VALUE"""),"117.40 x 16.50")</f>
        <v>117.40 x 16.50</v>
      </c>
      <c r="F305" s="8" t="str">
        <f ca="1">IFERROR(__xludf.DUMMYFUNCTION("""COMPUTED_VALUE"""),"12")</f>
        <v>12</v>
      </c>
      <c r="G305" s="8">
        <f ca="1">IFERROR(__xludf.DUMMYFUNCTION("""COMPUTED_VALUE"""),9103)</f>
        <v>9103</v>
      </c>
      <c r="H305" s="8" t="str">
        <f ca="1">IFERROR(__xludf.DUMMYFUNCTION("""COMPUTED_VALUE"""),"?/Y Epoxy")</f>
        <v>?/Y Epoxy</v>
      </c>
      <c r="I305" s="8" t="str">
        <f ca="1">IFERROR(__xludf.DUMMYFUNCTION("""COMPUTED_VALUE"""),"-")</f>
        <v>-</v>
      </c>
      <c r="J305" s="8" t="str">
        <f ca="1">IFERROR(__xludf.DUMMYFUNCTION("""COMPUTED_VALUE"""),"GDF 8320ZC")</f>
        <v>GDF 8320ZC</v>
      </c>
      <c r="K305" s="8" t="str">
        <f ca="1">IFERROR(__xludf.DUMMYFUNCTION("""COMPUTED_VALUE"""),"-")</f>
        <v>-</v>
      </c>
      <c r="L305" s="8" t="str">
        <f ca="1">IFERROR(__xludf.DUMMYFUNCTION("""COMPUTED_VALUE"""),"To be chkd")</f>
        <v>To be chkd</v>
      </c>
      <c r="M305" s="8" t="str">
        <f ca="1">IFERROR(__xludf.DUMMYFUNCTION("""COMPUTED_VALUE"""),"CCS 1/26D")</f>
        <v>CCS 1/26D</v>
      </c>
      <c r="N305" s="8" t="str">
        <f ca="1">IFERROR(__xludf.DUMMYFUNCTION("""COMPUTED_VALUE"""),"China")</f>
        <v>China</v>
      </c>
      <c r="O305" s="8" t="str">
        <f ca="1">IFERROR(__xludf.DUMMYFUNCTION("""COMPUTED_VALUE"""),"2.2 m")</f>
        <v>2.2 m</v>
      </c>
    </row>
    <row r="306" spans="1:15" ht="15.75" customHeight="1" x14ac:dyDescent="0.25">
      <c r="A306" s="8" t="str">
        <f ca="1">IFERROR(__xludf.DUMMYFUNCTION("""COMPUTED_VALUE"""),"TA 7415/03")</f>
        <v>TA 7415/03</v>
      </c>
      <c r="B306" s="8" t="str">
        <f ca="1">IFERROR(__xludf.DUMMYFUNCTION("""COMPUTED_VALUE"""),"Prods Tk. IMO 2/Ice II")</f>
        <v>Prods Tk. IMO 2/Ice II</v>
      </c>
      <c r="C306" s="9">
        <f ca="1">IFERROR(__xludf.DUMMYFUNCTION("""COMPUTED_VALUE"""),7415)</f>
        <v>7415</v>
      </c>
      <c r="D306" s="8" t="str">
        <f ca="1">IFERROR(__xludf.DUMMYFUNCTION("""COMPUTED_VALUE"""),"2003-Turkey")</f>
        <v>2003-Turkey</v>
      </c>
      <c r="E306" s="8" t="str">
        <f ca="1">IFERROR(__xludf.DUMMYFUNCTION("""COMPUTED_VALUE"""),"106.13 x 16.50")</f>
        <v>106.13 x 16.50</v>
      </c>
      <c r="F306" s="8" t="str">
        <f ca="1">IFERROR(__xludf.DUMMYFUNCTION("""COMPUTED_VALUE"""),"14")</f>
        <v>14</v>
      </c>
      <c r="G306" s="8">
        <f ca="1">IFERROR(__xludf.DUMMYFUNCTION("""COMPUTED_VALUE"""),8987)</f>
        <v>8987</v>
      </c>
      <c r="H306" s="8" t="str">
        <f ca="1">IFERROR(__xludf.DUMMYFUNCTION("""COMPUTED_VALUE"""),"N/Y Epoxy")</f>
        <v>N/Y Epoxy</v>
      </c>
      <c r="I306" s="8" t="str">
        <f ca="1">IFERROR(__xludf.DUMMYFUNCTION("""COMPUTED_VALUE"""),"10 x 200 + 4 x 100")</f>
        <v>10 x 200 + 4 x 100</v>
      </c>
      <c r="J306" s="8" t="str">
        <f ca="1">IFERROR(__xludf.DUMMYFUNCTION("""COMPUTED_VALUE"""),"MAK")</f>
        <v>MAK</v>
      </c>
      <c r="K306" s="8" t="str">
        <f ca="1">IFERROR(__xludf.DUMMYFUNCTION("""COMPUTED_VALUE"""),"13.1K/9.6 t")</f>
        <v>13.1K/9.6 t</v>
      </c>
      <c r="L306" s="8" t="str">
        <f ca="1">IFERROR(__xludf.DUMMYFUNCTION("""COMPUTED_VALUE"""),"To be chkd")</f>
        <v>To be chkd</v>
      </c>
      <c r="M306" s="8" t="str">
        <f ca="1">IFERROR(__xludf.DUMMYFUNCTION("""COMPUTED_VALUE"""),"NV 828D")</f>
        <v>NV 828D</v>
      </c>
      <c r="N306" s="8" t="str">
        <f ca="1">IFERROR(__xludf.DUMMYFUNCTION("""COMPUTED_VALUE"""),"Canary Isl.")</f>
        <v>Canary Isl.</v>
      </c>
      <c r="O306" s="8" t="str">
        <f ca="1">IFERROR(__xludf.DUMMYFUNCTION("""COMPUTED_VALUE"""),"B.offers")</f>
        <v>B.offers</v>
      </c>
    </row>
    <row r="307" spans="1:15" ht="15.75" customHeight="1" x14ac:dyDescent="0.25">
      <c r="A307" s="8" t="str">
        <f ca="1">IFERROR(__xludf.DUMMYFUNCTION("""COMPUTED_VALUE"""),"TA 7229/19")</f>
        <v>TA 7229/19</v>
      </c>
      <c r="B307" s="8" t="str">
        <f ca="1">IFERROR(__xludf.DUMMYFUNCTION("""COMPUTED_VALUE"""),"Products Oil Tanker")</f>
        <v>Products Oil Tanker</v>
      </c>
      <c r="C307" s="9">
        <f ca="1">IFERROR(__xludf.DUMMYFUNCTION("""COMPUTED_VALUE"""),7229)</f>
        <v>7229</v>
      </c>
      <c r="D307" s="8" t="str">
        <f ca="1">IFERROR(__xludf.DUMMYFUNCTION("""COMPUTED_VALUE"""),"2019-China")</f>
        <v>2019-China</v>
      </c>
      <c r="E307" s="8" t="str">
        <f ca="1">IFERROR(__xludf.DUMMYFUNCTION("""COMPUTED_VALUE"""),"119.80 x 17.20")</f>
        <v>119.80 x 17.20</v>
      </c>
      <c r="F307" s="8" t="str">
        <f ca="1">IFERROR(__xludf.DUMMYFUNCTION("""COMPUTED_VALUE"""),"13")</f>
        <v>13</v>
      </c>
      <c r="G307" s="8">
        <f ca="1">IFERROR(__xludf.DUMMYFUNCTION("""COMPUTED_VALUE"""),9268)</f>
        <v>9268</v>
      </c>
      <c r="H307" s="8" t="str">
        <f ca="1">IFERROR(__xludf.DUMMYFUNCTION("""COMPUTED_VALUE"""),"N/Y PPG720")</f>
        <v>N/Y PPG720</v>
      </c>
      <c r="I307" s="8" t="str">
        <f ca="1">IFERROR(__xludf.DUMMYFUNCTION("""COMPUTED_VALUE"""),"2 x 750")</f>
        <v>2 x 750</v>
      </c>
      <c r="J307" s="8" t="str">
        <f ca="1">IFERROR(__xludf.DUMMYFUNCTION("""COMPUTED_VALUE"""),"Ningbo")</f>
        <v>Ningbo</v>
      </c>
      <c r="K307" s="8" t="str">
        <f ca="1">IFERROR(__xludf.DUMMYFUNCTION("""COMPUTED_VALUE"""),"12.5 k")</f>
        <v>12.5 k</v>
      </c>
      <c r="L307" s="8" t="str">
        <f ca="1">IFERROR(__xludf.DUMMYFUNCTION("""COMPUTED_VALUE"""),"To be chkd")</f>
        <v>To be chkd</v>
      </c>
      <c r="M307" s="8" t="str">
        <f ca="1">IFERROR(__xludf.DUMMYFUNCTION("""COMPUTED_VALUE"""),"CCS Domest")</f>
        <v>CCS Domest</v>
      </c>
      <c r="N307" s="8" t="str">
        <f ca="1">IFERROR(__xludf.DUMMYFUNCTION("""COMPUTED_VALUE"""),"China")</f>
        <v>China</v>
      </c>
      <c r="O307" s="8" t="str">
        <f ca="1">IFERROR(__xludf.DUMMYFUNCTION("""COMPUTED_VALUE"""),"B.offers")</f>
        <v>B.offers</v>
      </c>
    </row>
    <row r="308" spans="1:15" ht="15.75" customHeight="1" x14ac:dyDescent="0.25">
      <c r="A308" s="8" t="str">
        <f ca="1">IFERROR(__xludf.DUMMYFUNCTION("""COMPUTED_VALUE"""),"TA 7172/07")</f>
        <v>TA 7172/07</v>
      </c>
      <c r="B308" s="8" t="str">
        <f ca="1">IFERROR(__xludf.DUMMYFUNCTION("""COMPUTED_VALUE"""),"Oil Products Tanker")</f>
        <v>Oil Products Tanker</v>
      </c>
      <c r="C308" s="9">
        <f ca="1">IFERROR(__xludf.DUMMYFUNCTION("""COMPUTED_VALUE"""),7172)</f>
        <v>7172</v>
      </c>
      <c r="D308" s="8" t="str">
        <f ca="1">IFERROR(__xludf.DUMMYFUNCTION("""COMPUTED_VALUE"""),"2007-China")</f>
        <v>2007-China</v>
      </c>
      <c r="E308" s="8" t="str">
        <f ca="1">IFERROR(__xludf.DUMMYFUNCTION("""COMPUTED_VALUE"""),"117.0 x 16.80")</f>
        <v>117.0 x 16.80</v>
      </c>
      <c r="F308" s="8" t="str">
        <f ca="1">IFERROR(__xludf.DUMMYFUNCTION("""COMPUTED_VALUE"""),"10")</f>
        <v>10</v>
      </c>
      <c r="G308" s="8">
        <f ca="1">IFERROR(__xludf.DUMMYFUNCTION("""COMPUTED_VALUE"""),8094)</f>
        <v>8094</v>
      </c>
      <c r="H308" s="8" t="str">
        <f ca="1">IFERROR(__xludf.DUMMYFUNCTION("""COMPUTED_VALUE"""),"N/Y Epoxy")</f>
        <v>N/Y Epoxy</v>
      </c>
      <c r="I308" s="8" t="str">
        <f ca="1">IFERROR(__xludf.DUMMYFUNCTION("""COMPUTED_VALUE"""),"-")</f>
        <v>-</v>
      </c>
      <c r="J308" s="8" t="str">
        <f ca="1">IFERROR(__xludf.DUMMYFUNCTION("""COMPUTED_VALUE"""),"Guangzhou")</f>
        <v>Guangzhou</v>
      </c>
      <c r="K308" s="8" t="str">
        <f ca="1">IFERROR(__xludf.DUMMYFUNCTION("""COMPUTED_VALUE"""),"11 k")</f>
        <v>11 k</v>
      </c>
      <c r="L308" s="8" t="str">
        <f ca="1">IFERROR(__xludf.DUMMYFUNCTION("""COMPUTED_VALUE"""),"To be chkd")</f>
        <v>To be chkd</v>
      </c>
      <c r="M308" s="8" t="str">
        <f ca="1">IFERROR(__xludf.DUMMYFUNCTION("""COMPUTED_VALUE"""),"IRS Class")</f>
        <v>IRS Class</v>
      </c>
      <c r="N308" s="8" t="str">
        <f ca="1">IFERROR(__xludf.DUMMYFUNCTION("""COMPUTED_VALUE"""),"Sharjah")</f>
        <v>Sharjah</v>
      </c>
      <c r="O308" s="8" t="str">
        <f ca="1">IFERROR(__xludf.DUMMYFUNCTION("""COMPUTED_VALUE"""),"6.0 m")</f>
        <v>6.0 m</v>
      </c>
    </row>
    <row r="309" spans="1:15" ht="15.75" customHeight="1" x14ac:dyDescent="0.25">
      <c r="A309" s="8" t="str">
        <f ca="1">IFERROR(__xludf.DUMMYFUNCTION("""COMPUTED_VALUE"""),"TA 7157/03")</f>
        <v>TA 7157/03</v>
      </c>
      <c r="B309" s="8" t="str">
        <f ca="1">IFERROR(__xludf.DUMMYFUNCTION("""COMPUTED_VALUE"""),"Bunkering Tanker")</f>
        <v>Bunkering Tanker</v>
      </c>
      <c r="C309" s="9">
        <f ca="1">IFERROR(__xludf.DUMMYFUNCTION("""COMPUTED_VALUE"""),7157)</f>
        <v>7157</v>
      </c>
      <c r="D309" s="8" t="str">
        <f ca="1">IFERROR(__xludf.DUMMYFUNCTION("""COMPUTED_VALUE"""),"2003-Turkey")</f>
        <v>2003-Turkey</v>
      </c>
      <c r="E309" s="8" t="str">
        <f ca="1">IFERROR(__xludf.DUMMYFUNCTION("""COMPUTED_VALUE"""),"119.1 x 16.90")</f>
        <v>119.1 x 16.90</v>
      </c>
      <c r="F309" s="8" t="str">
        <f ca="1">IFERROR(__xludf.DUMMYFUNCTION("""COMPUTED_VALUE"""),"12")</f>
        <v>12</v>
      </c>
      <c r="G309" s="8">
        <f ca="1">IFERROR(__xludf.DUMMYFUNCTION("""COMPUTED_VALUE"""),7726)</f>
        <v>7726</v>
      </c>
      <c r="H309" s="8" t="str">
        <f ca="1">IFERROR(__xludf.DUMMYFUNCTION("""COMPUTED_VALUE"""),"Y/Y Epoxy")</f>
        <v>Y/Y Epoxy</v>
      </c>
      <c r="I309" s="8" t="str">
        <f ca="1">IFERROR(__xludf.DUMMYFUNCTION("""COMPUTED_VALUE"""),"12x200+5x125")</f>
        <v>12x200+5x125</v>
      </c>
      <c r="J309" s="8" t="str">
        <f ca="1">IFERROR(__xludf.DUMMYFUNCTION("""COMPUTED_VALUE"""),"MAK")</f>
        <v>MAK</v>
      </c>
      <c r="K309" s="8" t="str">
        <f ca="1">IFERROR(__xludf.DUMMYFUNCTION("""COMPUTED_VALUE"""),"14k/15.5t GO")</f>
        <v>14k/15.5t GO</v>
      </c>
      <c r="L309" s="8" t="str">
        <f ca="1">IFERROR(__xludf.DUMMYFUNCTION("""COMPUTED_VALUE"""),"To be chkd")</f>
        <v>To be chkd</v>
      </c>
      <c r="M309" s="8" t="str">
        <f ca="1">IFERROR(__xludf.DUMMYFUNCTION("""COMPUTED_VALUE"""),"LR 1/27D")</f>
        <v>LR 1/27D</v>
      </c>
      <c r="N309" s="8" t="str">
        <f ca="1">IFERROR(__xludf.DUMMYFUNCTION("""COMPUTED_VALUE"""),"W.Panama")</f>
        <v>W.Panama</v>
      </c>
      <c r="O309" s="8" t="str">
        <f ca="1">IFERROR(__xludf.DUMMYFUNCTION("""COMPUTED_VALUE"""),"4.0 m")</f>
        <v>4.0 m</v>
      </c>
    </row>
    <row r="310" spans="1:15" ht="15.75" customHeight="1" x14ac:dyDescent="0.25">
      <c r="A310" s="8" t="str">
        <f ca="1">IFERROR(__xludf.DUMMYFUNCTION("""COMPUTED_VALUE"""),"TA 7139/12")</f>
        <v>TA 7139/12</v>
      </c>
      <c r="B310" s="8" t="str">
        <f ca="1">IFERROR(__xludf.DUMMYFUNCTION("""COMPUTED_VALUE"""),"Oil/Chemical Ice II")</f>
        <v>Oil/Chemical Ice II</v>
      </c>
      <c r="C310" s="9">
        <f ca="1">IFERROR(__xludf.DUMMYFUNCTION("""COMPUTED_VALUE"""),7139)</f>
        <v>7139</v>
      </c>
      <c r="D310" s="8" t="str">
        <f ca="1">IFERROR(__xludf.DUMMYFUNCTION("""COMPUTED_VALUE"""),"2012-China")</f>
        <v>2012-China</v>
      </c>
      <c r="E310" s="8" t="str">
        <f ca="1">IFERROR(__xludf.DUMMYFUNCTION("""COMPUTED_VALUE"""),"117.1 x 16.30 ")</f>
        <v xml:space="preserve">117.1 x 16.30 </v>
      </c>
      <c r="F310" s="8" t="str">
        <f ca="1">IFERROR(__xludf.DUMMYFUNCTION("""COMPUTED_VALUE"""),"10")</f>
        <v>10</v>
      </c>
      <c r="G310" s="8">
        <f ca="1">IFERROR(__xludf.DUMMYFUNCTION("""COMPUTED_VALUE"""),7114)</f>
        <v>7114</v>
      </c>
      <c r="H310" s="8" t="str">
        <f ca="1">IFERROR(__xludf.DUMMYFUNCTION("""COMPUTED_VALUE"""),"Y stst/Y Epoxy")</f>
        <v>Y stst/Y Epoxy</v>
      </c>
      <c r="I310" s="8" t="str">
        <f ca="1">IFERROR(__xludf.DUMMYFUNCTION("""COMPUTED_VALUE"""),"2 x 500")</f>
        <v>2 x 500</v>
      </c>
      <c r="J310" s="8" t="str">
        <f ca="1">IFERROR(__xludf.DUMMYFUNCTION("""COMPUTED_VALUE"""),"Guangzhou")</f>
        <v>Guangzhou</v>
      </c>
      <c r="K310" s="8" t="str">
        <f ca="1">IFERROR(__xludf.DUMMYFUNCTION("""COMPUTED_VALUE"""),"12.5k/6.5t FO")</f>
        <v>12.5k/6.5t FO</v>
      </c>
      <c r="L310" s="8" t="str">
        <f ca="1">IFERROR(__xludf.DUMMYFUNCTION("""COMPUTED_VALUE"""),"Fitted")</f>
        <v>Fitted</v>
      </c>
      <c r="M310" s="8" t="str">
        <f ca="1">IFERROR(__xludf.DUMMYFUNCTION("""COMPUTED_VALUE"""),"OMCS 6.27D")</f>
        <v>OMCS 6.27D</v>
      </c>
      <c r="N310" s="10" t="str">
        <f ca="1">IFERROR(__xludf.DUMMYFUNCTION("""COMPUTED_VALUE"""),"SE.Asia")</f>
        <v>SE.Asia</v>
      </c>
      <c r="O310" s="8" t="str">
        <f ca="1">IFERROR(__xludf.DUMMYFUNCTION("""COMPUTED_VALUE"""),"5.2-5.0 m")</f>
        <v>5.2-5.0 m</v>
      </c>
    </row>
    <row r="311" spans="1:15" ht="15.75" customHeight="1" x14ac:dyDescent="0.25">
      <c r="A311" s="8" t="str">
        <f ca="1">IFERROR(__xludf.DUMMYFUNCTION("""COMPUTED_VALUE"""),"TA 7080/07")</f>
        <v>TA 7080/07</v>
      </c>
      <c r="B311" s="8" t="str">
        <f ca="1">IFERROR(__xludf.DUMMYFUNCTION("""COMPUTED_VALUE"""),"CPP Oil Tanker")</f>
        <v>CPP Oil Tanker</v>
      </c>
      <c r="C311" s="9">
        <f ca="1">IFERROR(__xludf.DUMMYFUNCTION("""COMPUTED_VALUE"""),7080)</f>
        <v>7080</v>
      </c>
      <c r="D311" s="8" t="str">
        <f ca="1">IFERROR(__xludf.DUMMYFUNCTION("""COMPUTED_VALUE"""),"2007-China")</f>
        <v>2007-China</v>
      </c>
      <c r="E311" s="8" t="str">
        <f ca="1">IFERROR(__xludf.DUMMYFUNCTION("""COMPUTED_VALUE"""),"117.40 x 16.50")</f>
        <v>117.40 x 16.50</v>
      </c>
      <c r="F311" s="8" t="str">
        <f ca="1">IFERROR(__xludf.DUMMYFUNCTION("""COMPUTED_VALUE"""),"12")</f>
        <v>12</v>
      </c>
      <c r="G311" s="8">
        <f ca="1">IFERROR(__xludf.DUMMYFUNCTION("""COMPUTED_VALUE"""),8872)</f>
        <v>8872</v>
      </c>
      <c r="H311" s="8" t="str">
        <f ca="1">IFERROR(__xludf.DUMMYFUNCTION("""COMPUTED_VALUE"""),"N/N")</f>
        <v>N/N</v>
      </c>
      <c r="I311" s="8" t="str">
        <f ca="1">IFERROR(__xludf.DUMMYFUNCTION("""COMPUTED_VALUE"""),"?")</f>
        <v>?</v>
      </c>
      <c r="J311" s="8" t="str">
        <f ca="1">IFERROR(__xludf.DUMMYFUNCTION("""COMPUTED_VALUE"""),"Guangzhou")</f>
        <v>Guangzhou</v>
      </c>
      <c r="K311" s="8" t="str">
        <f ca="1">IFERROR(__xludf.DUMMYFUNCTION("""COMPUTED_VALUE"""),"-")</f>
        <v>-</v>
      </c>
      <c r="L311" s="8" t="str">
        <f ca="1">IFERROR(__xludf.DUMMYFUNCTION("""COMPUTED_VALUE"""),"To be chkd")</f>
        <v>To be chkd</v>
      </c>
      <c r="M311" s="8" t="str">
        <f ca="1">IFERROR(__xludf.DUMMYFUNCTION("""COMPUTED_VALUE"""),"ZC Domestic")</f>
        <v>ZC Domestic</v>
      </c>
      <c r="N311" s="8" t="str">
        <f ca="1">IFERROR(__xludf.DUMMYFUNCTION("""COMPUTED_VALUE"""),"China")</f>
        <v>China</v>
      </c>
      <c r="O311" s="8" t="str">
        <f ca="1">IFERROR(__xludf.DUMMYFUNCTION("""COMPUTED_VALUE"""),"B.offers")</f>
        <v>B.offers</v>
      </c>
    </row>
    <row r="312" spans="1:15" ht="15.75" customHeight="1" x14ac:dyDescent="0.25">
      <c r="A312" s="8" t="str">
        <f ca="1">IFERROR(__xludf.DUMMYFUNCTION("""COMPUTED_VALUE"""),"TA 7076/98")</f>
        <v>TA 7076/98</v>
      </c>
      <c r="B312" s="8" t="str">
        <f ca="1">IFERROR(__xludf.DUMMYFUNCTION("""COMPUTED_VALUE"""),"Oil/Products Tanker")</f>
        <v>Oil/Products Tanker</v>
      </c>
      <c r="C312" s="9">
        <f ca="1">IFERROR(__xludf.DUMMYFUNCTION("""COMPUTED_VALUE"""),7076)</f>
        <v>7076</v>
      </c>
      <c r="D312" s="8" t="str">
        <f ca="1">IFERROR(__xludf.DUMMYFUNCTION("""COMPUTED_VALUE"""),"1998-Japan")</f>
        <v>1998-Japan</v>
      </c>
      <c r="E312" s="8" t="str">
        <f ca="1">IFERROR(__xludf.DUMMYFUNCTION("""COMPUTED_VALUE"""),"104.9 x 19.00")</f>
        <v>104.9 x 19.00</v>
      </c>
      <c r="F312" s="8" t="str">
        <f ca="1">IFERROR(__xludf.DUMMYFUNCTION("""COMPUTED_VALUE"""),"8")</f>
        <v>8</v>
      </c>
      <c r="G312" s="8">
        <f ca="1">IFERROR(__xludf.DUMMYFUNCTION("""COMPUTED_VALUE"""),7560)</f>
        <v>7560</v>
      </c>
      <c r="H312" s="8" t="str">
        <f ca="1">IFERROR(__xludf.DUMMYFUNCTION("""COMPUTED_VALUE"""),"Y/Y Epoxy")</f>
        <v>Y/Y Epoxy</v>
      </c>
      <c r="I312" s="8" t="str">
        <f ca="1">IFERROR(__xludf.DUMMYFUNCTION("""COMPUTED_VALUE"""),"2 x 1400")</f>
        <v>2 x 1400</v>
      </c>
      <c r="J312" s="8" t="str">
        <f ca="1">IFERROR(__xludf.DUMMYFUNCTION("""COMPUTED_VALUE"""),"Diesel")</f>
        <v>Diesel</v>
      </c>
      <c r="K312" s="8" t="str">
        <f ca="1">IFERROR(__xludf.DUMMYFUNCTION("""COMPUTED_VALUE"""),"12.8 k")</f>
        <v>12.8 k</v>
      </c>
      <c r="L312" s="8" t="str">
        <f ca="1">IFERROR(__xludf.DUMMYFUNCTION("""COMPUTED_VALUE"""),"Fitted")</f>
        <v>Fitted</v>
      </c>
      <c r="M312" s="8" t="str">
        <f ca="1">IFERROR(__xludf.DUMMYFUNCTION("""COMPUTED_VALUE"""),"LR 9/27D")</f>
        <v>LR 9/27D</v>
      </c>
      <c r="N312" s="8" t="str">
        <f ca="1">IFERROR(__xludf.DUMMYFUNCTION("""COMPUTED_VALUE"""),"Black Sea")</f>
        <v>Black Sea</v>
      </c>
      <c r="O312" s="8" t="str">
        <f ca="1">IFERROR(__xludf.DUMMYFUNCTION("""COMPUTED_VALUE"""),"B.offers")</f>
        <v>B.offers</v>
      </c>
    </row>
    <row r="313" spans="1:15" ht="15.75" customHeight="1" x14ac:dyDescent="0.25">
      <c r="A313" s="8" t="str">
        <f ca="1">IFERROR(__xludf.DUMMYFUNCTION("""COMPUTED_VALUE"""),"TA 7017/16")</f>
        <v>TA 7017/16</v>
      </c>
      <c r="B313" s="8" t="str">
        <f ca="1">IFERROR(__xludf.DUMMYFUNCTION("""COMPUTED_VALUE"""),"Shallow draft Sea-River Prods Tker")</f>
        <v>Shallow draft Sea-River Prods Tker</v>
      </c>
      <c r="C313" s="9">
        <f ca="1">IFERROR(__xludf.DUMMYFUNCTION("""COMPUTED_VALUE"""),7017)</f>
        <v>7017</v>
      </c>
      <c r="D313" s="8" t="str">
        <f ca="1">IFERROR(__xludf.DUMMYFUNCTION("""COMPUTED_VALUE"""),"2016-Russia")</f>
        <v>2016-Russia</v>
      </c>
      <c r="E313" s="8" t="str">
        <f ca="1">IFERROR(__xludf.DUMMYFUNCTION("""COMPUTED_VALUE"""),"140.85 x 16.70")</f>
        <v>140.85 x 16.70</v>
      </c>
      <c r="F313" s="8" t="str">
        <f ca="1">IFERROR(__xludf.DUMMYFUNCTION("""COMPUTED_VALUE"""),"6")</f>
        <v>6</v>
      </c>
      <c r="G313" s="8">
        <f ca="1">IFERROR(__xludf.DUMMYFUNCTION("""COMPUTED_VALUE"""),7907)</f>
        <v>7907</v>
      </c>
      <c r="H313" s="8" t="str">
        <f ca="1">IFERROR(__xludf.DUMMYFUNCTION("""COMPUTED_VALUE"""),"Y/Y Epoxy")</f>
        <v>Y/Y Epoxy</v>
      </c>
      <c r="I313" s="8" t="str">
        <f ca="1">IFERROR(__xludf.DUMMYFUNCTION("""COMPUTED_VALUE"""),"6 x 200+6 x 150")</f>
        <v>6 x 200+6 x 150</v>
      </c>
      <c r="J313" s="8" t="str">
        <f ca="1">IFERROR(__xludf.DUMMYFUNCTION("""COMPUTED_VALUE"""),"2 x Wartsila")</f>
        <v>2 x Wartsila</v>
      </c>
      <c r="K313" s="8" t="str">
        <f ca="1">IFERROR(__xludf.DUMMYFUNCTION("""COMPUTED_VALUE"""),"-")</f>
        <v>-</v>
      </c>
      <c r="L313" s="8" t="str">
        <f ca="1">IFERROR(__xludf.DUMMYFUNCTION("""COMPUTED_VALUE"""),"To be chkd")</f>
        <v>To be chkd</v>
      </c>
      <c r="M313" s="8" t="str">
        <f ca="1">IFERROR(__xludf.DUMMYFUNCTION("""COMPUTED_VALUE"""),"AB 11/26D")</f>
        <v>AB 11/26D</v>
      </c>
      <c r="N313" s="8" t="str">
        <f ca="1">IFERROR(__xludf.DUMMYFUNCTION("""COMPUTED_VALUE"""),"E.Med/B.Sea")</f>
        <v>E.Med/B.Sea</v>
      </c>
      <c r="O313" s="8" t="str">
        <f ca="1">IFERROR(__xludf.DUMMYFUNCTION("""COMPUTED_VALUE"""),"B.offers")</f>
        <v>B.offers</v>
      </c>
    </row>
    <row r="314" spans="1:15" ht="15.75" customHeight="1" x14ac:dyDescent="0.25">
      <c r="A314" s="8" t="str">
        <f ca="1">IFERROR(__xludf.DUMMYFUNCTION("""COMPUTED_VALUE"""),"TA 7002/17")</f>
        <v>TA 7002/17</v>
      </c>
      <c r="B314" s="8" t="str">
        <f ca="1">IFERROR(__xludf.DUMMYFUNCTION("""COMPUTED_VALUE"""),"Shallow draft Sea-River Prods Tker")</f>
        <v>Shallow draft Sea-River Prods Tker</v>
      </c>
      <c r="C314" s="9">
        <f ca="1">IFERROR(__xludf.DUMMYFUNCTION("""COMPUTED_VALUE"""),7002)</f>
        <v>7002</v>
      </c>
      <c r="D314" s="8" t="str">
        <f ca="1">IFERROR(__xludf.DUMMYFUNCTION("""COMPUTED_VALUE"""),"2017-Russia")</f>
        <v>2017-Russia</v>
      </c>
      <c r="E314" s="8" t="str">
        <f ca="1">IFERROR(__xludf.DUMMYFUNCTION("""COMPUTED_VALUE"""),"140.85 x 16.70")</f>
        <v>140.85 x 16.70</v>
      </c>
      <c r="F314" s="8" t="str">
        <f ca="1">IFERROR(__xludf.DUMMYFUNCTION("""COMPUTED_VALUE"""),"6")</f>
        <v>6</v>
      </c>
      <c r="G314" s="8">
        <f ca="1">IFERROR(__xludf.DUMMYFUNCTION("""COMPUTED_VALUE"""),7827)</f>
        <v>7827</v>
      </c>
      <c r="H314" s="8" t="str">
        <f ca="1">IFERROR(__xludf.DUMMYFUNCTION("""COMPUTED_VALUE"""),"Y/Y Epoxy")</f>
        <v>Y/Y Epoxy</v>
      </c>
      <c r="I314" s="8" t="str">
        <f ca="1">IFERROR(__xludf.DUMMYFUNCTION("""COMPUTED_VALUE"""),"6 x 200")</f>
        <v>6 x 200</v>
      </c>
      <c r="J314" s="8" t="str">
        <f ca="1">IFERROR(__xludf.DUMMYFUNCTION("""COMPUTED_VALUE"""),"2 x Wartsila")</f>
        <v>2 x Wartsila</v>
      </c>
      <c r="K314" s="8" t="str">
        <f ca="1">IFERROR(__xludf.DUMMYFUNCTION("""COMPUTED_VALUE"""),"-")</f>
        <v>-</v>
      </c>
      <c r="L314" s="8" t="str">
        <f ca="1">IFERROR(__xludf.DUMMYFUNCTION("""COMPUTED_VALUE"""),"To be chkd")</f>
        <v>To be chkd</v>
      </c>
      <c r="M314" s="8" t="str">
        <f ca="1">IFERROR(__xludf.DUMMYFUNCTION("""COMPUTED_VALUE"""),"AB 8/25D")</f>
        <v>AB 8/25D</v>
      </c>
      <c r="N314" s="8" t="str">
        <f ca="1">IFERROR(__xludf.DUMMYFUNCTION("""COMPUTED_VALUE"""),"E.Med/B.Sea")</f>
        <v>E.Med/B.Sea</v>
      </c>
      <c r="O314" s="8" t="str">
        <f ca="1">IFERROR(__xludf.DUMMYFUNCTION("""COMPUTED_VALUE"""),"B.offers")</f>
        <v>B.offers</v>
      </c>
    </row>
    <row r="315" spans="1:15" ht="15.75" customHeight="1" x14ac:dyDescent="0.25">
      <c r="A315" s="8" t="str">
        <f ca="1">IFERROR(__xludf.DUMMYFUNCTION("""COMPUTED_VALUE"""),"TA 6937/05")</f>
        <v>TA 6937/05</v>
      </c>
      <c r="B315" s="8" t="str">
        <f ca="1">IFERROR(__xludf.DUMMYFUNCTION("""COMPUTED_VALUE"""),"Chemical/Products CPP Tker")</f>
        <v>Chemical/Products CPP Tker</v>
      </c>
      <c r="C315" s="9">
        <f ca="1">IFERROR(__xludf.DUMMYFUNCTION("""COMPUTED_VALUE"""),6890)</f>
        <v>6890</v>
      </c>
      <c r="D315" s="8" t="str">
        <f ca="1">IFERROR(__xludf.DUMMYFUNCTION("""COMPUTED_VALUE"""),"2005-Turkey")</f>
        <v>2005-Turkey</v>
      </c>
      <c r="E315" s="8" t="str">
        <f ca="1">IFERROR(__xludf.DUMMYFUNCTION("""COMPUTED_VALUE"""),"119.1 x 16.93")</f>
        <v>119.1 x 16.93</v>
      </c>
      <c r="F315" s="8" t="str">
        <f ca="1">IFERROR(__xludf.DUMMYFUNCTION("""COMPUTED_VALUE"""),"12")</f>
        <v>12</v>
      </c>
      <c r="G315" s="8">
        <f ca="1">IFERROR(__xludf.DUMMYFUNCTION("""COMPUTED_VALUE"""),7722)</f>
        <v>7722</v>
      </c>
      <c r="H315" s="8" t="str">
        <f ca="1">IFERROR(__xludf.DUMMYFUNCTION("""COMPUTED_VALUE"""),"Y/Y Sigma Ph.")</f>
        <v>Y/Y Sigma Ph.</v>
      </c>
      <c r="I315" s="8" t="str">
        <f ca="1">IFERROR(__xludf.DUMMYFUNCTION("""COMPUTED_VALUE"""),"12 x 200 Centr.")</f>
        <v>12 x 200 Centr.</v>
      </c>
      <c r="J315" s="8" t="str">
        <f ca="1">IFERROR(__xludf.DUMMYFUNCTION("""COMPUTED_VALUE"""),"Diesel")</f>
        <v>Diesel</v>
      </c>
      <c r="K315" s="8" t="str">
        <f ca="1">IFERROR(__xludf.DUMMYFUNCTION("""COMPUTED_VALUE"""),"13 k")</f>
        <v>13 k</v>
      </c>
      <c r="L315" s="8" t="str">
        <f ca="1">IFERROR(__xludf.DUMMYFUNCTION("""COMPUTED_VALUE"""),"Fitted")</f>
        <v>Fitted</v>
      </c>
      <c r="M315" s="8" t="str">
        <f ca="1">IFERROR(__xludf.DUMMYFUNCTION("""COMPUTED_VALUE"""),"LR 7/25D")</f>
        <v>LR 7/25D</v>
      </c>
      <c r="N315" s="8" t="str">
        <f ca="1">IFERROR(__xludf.DUMMYFUNCTION("""COMPUTED_VALUE"""),"Spain/Mor")</f>
        <v>Spain/Mor</v>
      </c>
      <c r="O315" s="8" t="str">
        <f ca="1">IFERROR(__xludf.DUMMYFUNCTION("""COMPUTED_VALUE"""),"B.offers")</f>
        <v>B.offers</v>
      </c>
    </row>
    <row r="316" spans="1:15" ht="15.75" customHeight="1" x14ac:dyDescent="0.25">
      <c r="A316" s="8" t="str">
        <f ca="1">IFERROR(__xludf.DUMMYFUNCTION("""COMPUTED_VALUE"""),"TA 6843/05")</f>
        <v>TA 6843/05</v>
      </c>
      <c r="B316" s="8" t="str">
        <f ca="1">IFERROR(__xludf.DUMMYFUNCTION("""COMPUTED_VALUE"""),"DPP Ice 1A Oil Prod/Chem.Tanker")</f>
        <v>DPP Ice 1A Oil Prod/Chem.Tanker</v>
      </c>
      <c r="C316" s="9">
        <f ca="1">IFERROR(__xludf.DUMMYFUNCTION("""COMPUTED_VALUE"""),6843)</f>
        <v>6843</v>
      </c>
      <c r="D316" s="8" t="str">
        <f ca="1">IFERROR(__xludf.DUMMYFUNCTION("""COMPUTED_VALUE"""),"2005-Turkey")</f>
        <v>2005-Turkey</v>
      </c>
      <c r="E316" s="8" t="str">
        <f ca="1">IFERROR(__xludf.DUMMYFUNCTION("""COMPUTED_VALUE"""),"119.1 x 16.90")</f>
        <v>119.1 x 16.90</v>
      </c>
      <c r="F316" s="8" t="str">
        <f ca="1">IFERROR(__xludf.DUMMYFUNCTION("""COMPUTED_VALUE"""),"14")</f>
        <v>14</v>
      </c>
      <c r="G316" s="8">
        <f ca="1">IFERROR(__xludf.DUMMYFUNCTION("""COMPUTED_VALUE"""),8228)</f>
        <v>8228</v>
      </c>
      <c r="H316" s="8" t="str">
        <f ca="1">IFERROR(__xludf.DUMMYFUNCTION("""COMPUTED_VALUE"""),"Y/Y Epoxy")</f>
        <v>Y/Y Epoxy</v>
      </c>
      <c r="I316" s="8" t="str">
        <f ca="1">IFERROR(__xludf.DUMMYFUNCTION("""COMPUTED_VALUE"""),"12 x 330")</f>
        <v>12 x 330</v>
      </c>
      <c r="J316" s="8" t="str">
        <f ca="1">IFERROR(__xludf.DUMMYFUNCTION("""COMPUTED_VALUE"""),"MAK")</f>
        <v>MAK</v>
      </c>
      <c r="K316" s="8" t="str">
        <f ca="1">IFERROR(__xludf.DUMMYFUNCTION("""COMPUTED_VALUE"""),"-")</f>
        <v>-</v>
      </c>
      <c r="L316" s="8" t="str">
        <f ca="1">IFERROR(__xludf.DUMMYFUNCTION("""COMPUTED_VALUE"""),"To be chkd")</f>
        <v>To be chkd</v>
      </c>
      <c r="M316" s="8" t="str">
        <f ca="1">IFERROR(__xludf.DUMMYFUNCTION("""COMPUTED_VALUE"""),"LR 9/25D")</f>
        <v>LR 9/25D</v>
      </c>
      <c r="N316" s="10" t="str">
        <f ca="1">IFERROR(__xludf.DUMMYFUNCTION("""COMPUTED_VALUE"""),"SE.Asia")</f>
        <v>SE.Asia</v>
      </c>
      <c r="O316" s="8" t="str">
        <f ca="1">IFERROR(__xludf.DUMMYFUNCTION("""COMPUTED_VALUE"""),"B.offers")</f>
        <v>B.offers</v>
      </c>
    </row>
    <row r="317" spans="1:15" ht="15.75" customHeight="1" x14ac:dyDescent="0.25">
      <c r="A317" s="8" t="str">
        <f ca="1">IFERROR(__xludf.DUMMYFUNCTION("""COMPUTED_VALUE"""),"TA 6800/25-26")</f>
        <v>TA 6800/25-26</v>
      </c>
      <c r="B317" s="8" t="str">
        <f ca="1">IFERROR(__xludf.DUMMYFUNCTION("""COMPUTED_VALUE"""),"Newbuilding Chem. Tanker IMO 2+3")</f>
        <v>Newbuilding Chem. Tanker IMO 2+3</v>
      </c>
      <c r="C317" s="9">
        <f ca="1">IFERROR(__xludf.DUMMYFUNCTION("""COMPUTED_VALUE"""),6800)</f>
        <v>6800</v>
      </c>
      <c r="D317" s="8" t="str">
        <f ca="1">IFERROR(__xludf.DUMMYFUNCTION("""COMPUTED_VALUE"""),"12.2005-China")</f>
        <v>12.2005-China</v>
      </c>
      <c r="E317" s="8" t="str">
        <f ca="1">IFERROR(__xludf.DUMMYFUNCTION("""COMPUTED_VALUE"""),"114.9 x 17.20")</f>
        <v>114.9 x 17.20</v>
      </c>
      <c r="F317" s="8" t="str">
        <f ca="1">IFERROR(__xludf.DUMMYFUNCTION("""COMPUTED_VALUE"""),"12")</f>
        <v>12</v>
      </c>
      <c r="G317" s="8">
        <f ca="1">IFERROR(__xludf.DUMMYFUNCTION("""COMPUTED_VALUE"""),8134)</f>
        <v>8134</v>
      </c>
      <c r="H317" s="8" t="str">
        <f ca="1">IFERROR(__xludf.DUMMYFUNCTION("""COMPUTED_VALUE"""),"Y st.st./Y St.St.")</f>
        <v>Y st.st./Y St.St.</v>
      </c>
      <c r="I317" s="8" t="str">
        <f ca="1">IFERROR(__xludf.DUMMYFUNCTION("""COMPUTED_VALUE"""),"12 x 230")</f>
        <v>12 x 230</v>
      </c>
      <c r="J317" s="8" t="str">
        <f ca="1">IFERROR(__xludf.DUMMYFUNCTION("""COMPUTED_VALUE"""),"ZC6330ZLC-10")</f>
        <v>ZC6330ZLC-10</v>
      </c>
      <c r="K317" s="8" t="str">
        <f ca="1">IFERROR(__xludf.DUMMYFUNCTION("""COMPUTED_VALUE"""),"-")</f>
        <v>-</v>
      </c>
      <c r="L317" s="8" t="str">
        <f ca="1">IFERROR(__xludf.DUMMYFUNCTION("""COMPUTED_VALUE"""),"Fitted")</f>
        <v>Fitted</v>
      </c>
      <c r="M317" s="8" t="str">
        <f ca="1">IFERROR(__xludf.DUMMYFUNCTION("""COMPUTED_VALUE"""),"CCS Class")</f>
        <v>CCS Class</v>
      </c>
      <c r="N317" s="8" t="str">
        <f ca="1">IFERROR(__xludf.DUMMYFUNCTION("""COMPUTED_VALUE"""),"China")</f>
        <v>China</v>
      </c>
      <c r="O317" s="8" t="str">
        <f ca="1">IFERROR(__xludf.DUMMYFUNCTION("""COMPUTED_VALUE"""),"B.offers")</f>
        <v>B.offers</v>
      </c>
    </row>
    <row r="318" spans="1:15" ht="15.75" customHeight="1" x14ac:dyDescent="0.25">
      <c r="A318" s="8" t="str">
        <f ca="1">IFERROR(__xludf.DUMMYFUNCTION("""COMPUTED_VALUE"""),"TA 6732/23")</f>
        <v>TA 6732/23</v>
      </c>
      <c r="B318" s="8" t="str">
        <f ca="1">IFERROR(__xludf.DUMMYFUNCTION("""COMPUTED_VALUE"""),"Asphalt/Bitumen Tanker")</f>
        <v>Asphalt/Bitumen Tanker</v>
      </c>
      <c r="C318" s="9">
        <f ca="1">IFERROR(__xludf.DUMMYFUNCTION("""COMPUTED_VALUE"""),6732)</f>
        <v>6732</v>
      </c>
      <c r="D318" s="8" t="str">
        <f ca="1">IFERROR(__xludf.DUMMYFUNCTION("""COMPUTED_VALUE"""),"2023-China")</f>
        <v>2023-China</v>
      </c>
      <c r="E318" s="8" t="str">
        <f ca="1">IFERROR(__xludf.DUMMYFUNCTION("""COMPUTED_VALUE"""),"113.6 x 16.80")</f>
        <v>113.6 x 16.80</v>
      </c>
      <c r="F318" s="8" t="str">
        <f ca="1">IFERROR(__xludf.DUMMYFUNCTION("""COMPUTED_VALUE"""),"8")</f>
        <v>8</v>
      </c>
      <c r="G318" s="8">
        <f ca="1">IFERROR(__xludf.DUMMYFUNCTION("""COMPUTED_VALUE"""),7200)</f>
        <v>7200</v>
      </c>
      <c r="H318" s="8" t="str">
        <f ca="1">IFERROR(__xludf.DUMMYFUNCTION("""COMPUTED_VALUE"""),"Y Thermal Oil/N")</f>
        <v>Y Thermal Oil/N</v>
      </c>
      <c r="I318" s="8" t="str">
        <f ca="1">IFERROR(__xludf.DUMMYFUNCTION("""COMPUTED_VALUE"""),"2 x 500 + 1 x 50")</f>
        <v>2 x 500 + 1 x 50</v>
      </c>
      <c r="J318" s="8" t="str">
        <f ca="1">IFERROR(__xludf.DUMMYFUNCTION("""COMPUTED_VALUE"""),"Yanmar")</f>
        <v>Yanmar</v>
      </c>
      <c r="K318" s="8" t="str">
        <f ca="1">IFERROR(__xludf.DUMMYFUNCTION("""COMPUTED_VALUE"""),"13 K")</f>
        <v>13 K</v>
      </c>
      <c r="L318" s="8" t="str">
        <f ca="1">IFERROR(__xludf.DUMMYFUNCTION("""COMPUTED_VALUE"""),"Fitted")</f>
        <v>Fitted</v>
      </c>
      <c r="M318" s="8" t="str">
        <f ca="1">IFERROR(__xludf.DUMMYFUNCTION("""COMPUTED_VALUE"""),"CC 2/28D")</f>
        <v>CC 2/28D</v>
      </c>
      <c r="N318" s="8" t="str">
        <f ca="1">IFERROR(__xludf.DUMMYFUNCTION("""COMPUTED_VALUE"""),"PG")</f>
        <v>PG</v>
      </c>
      <c r="O318" s="8" t="str">
        <f ca="1">IFERROR(__xludf.DUMMYFUNCTION("""COMPUTED_VALUE"""),"11.5-11.1m")</f>
        <v>11.5-11.1m</v>
      </c>
    </row>
    <row r="319" spans="1:15" ht="15.75" customHeight="1" x14ac:dyDescent="0.25">
      <c r="A319" s="8" t="str">
        <f ca="1">IFERROR(__xludf.DUMMYFUNCTION("""COMPUTED_VALUE"""),"TA 6712/01A")</f>
        <v>TA 6712/01A</v>
      </c>
      <c r="B319" s="8" t="str">
        <f ca="1">IFERROR(__xludf.DUMMYFUNCTION("""COMPUTED_VALUE"""),"Products CPP Tanker")</f>
        <v>Products CPP Tanker</v>
      </c>
      <c r="C319" s="9">
        <f ca="1">IFERROR(__xludf.DUMMYFUNCTION("""COMPUTED_VALUE"""),6712)</f>
        <v>6712</v>
      </c>
      <c r="D319" s="8" t="str">
        <f ca="1">IFERROR(__xludf.DUMMYFUNCTION("""COMPUTED_VALUE"""),"2001-Turkey")</f>
        <v>2001-Turkey</v>
      </c>
      <c r="E319" s="8" t="str">
        <f ca="1">IFERROR(__xludf.DUMMYFUNCTION("""COMPUTED_VALUE"""),"114.00 x 16.90")</f>
        <v>114.00 x 16.90</v>
      </c>
      <c r="F319" s="8" t="str">
        <f ca="1">IFERROR(__xludf.DUMMYFUNCTION("""COMPUTED_VALUE"""),"13")</f>
        <v>13</v>
      </c>
      <c r="G319" s="8" t="str">
        <f ca="1">IFERROR(__xludf.DUMMYFUNCTION("""COMPUTED_VALUE"""),"-")</f>
        <v>-</v>
      </c>
      <c r="H319" s="8" t="str">
        <f ca="1">IFERROR(__xludf.DUMMYFUNCTION("""COMPUTED_VALUE"""),"N/Y Epoxy")</f>
        <v>N/Y Epoxy</v>
      </c>
      <c r="I319" s="8" t="str">
        <f ca="1">IFERROR(__xludf.DUMMYFUNCTION("""COMPUTED_VALUE"""),"12x200+1x125")</f>
        <v>12x200+1x125</v>
      </c>
      <c r="J319" s="8" t="str">
        <f ca="1">IFERROR(__xludf.DUMMYFUNCTION("""COMPUTED_VALUE"""),"MAK")</f>
        <v>MAK</v>
      </c>
      <c r="K319" s="8" t="str">
        <f ca="1">IFERROR(__xludf.DUMMYFUNCTION("""COMPUTED_VALUE"""),"-")</f>
        <v>-</v>
      </c>
      <c r="L319" s="8" t="str">
        <f ca="1">IFERROR(__xludf.DUMMYFUNCTION("""COMPUTED_VALUE"""),"Fitted")</f>
        <v>Fitted</v>
      </c>
      <c r="M319" s="8" t="str">
        <f ca="1">IFERROR(__xludf.DUMMYFUNCTION("""COMPUTED_VALUE"""),"BV 3/26D")</f>
        <v>BV 3/26D</v>
      </c>
      <c r="N319" s="8" t="str">
        <f ca="1">IFERROR(__xludf.DUMMYFUNCTION("""COMPUTED_VALUE"""),"UAE")</f>
        <v>UAE</v>
      </c>
      <c r="O319" s="8" t="str">
        <f ca="1">IFERROR(__xludf.DUMMYFUNCTION("""COMPUTED_VALUE"""),"B.offers")</f>
        <v>B.offers</v>
      </c>
    </row>
    <row r="320" spans="1:15" ht="15.75" customHeight="1" x14ac:dyDescent="0.25">
      <c r="A320" s="8" t="str">
        <f ca="1">IFERROR(__xludf.DUMMYFUNCTION("""COMPUTED_VALUE"""),"TA 6712/01B")</f>
        <v>TA 6712/01B</v>
      </c>
      <c r="B320" s="8" t="str">
        <f ca="1">IFERROR(__xludf.DUMMYFUNCTION("""COMPUTED_VALUE"""),"Products CPP Tanker")</f>
        <v>Products CPP Tanker</v>
      </c>
      <c r="C320" s="9">
        <f ca="1">IFERROR(__xludf.DUMMYFUNCTION("""COMPUTED_VALUE"""),6712)</f>
        <v>6712</v>
      </c>
      <c r="D320" s="8" t="str">
        <f ca="1">IFERROR(__xludf.DUMMYFUNCTION("""COMPUTED_VALUE"""),"2001-Turkey")</f>
        <v>2001-Turkey</v>
      </c>
      <c r="E320" s="8" t="str">
        <f ca="1">IFERROR(__xludf.DUMMYFUNCTION("""COMPUTED_VALUE"""),"114.00 x 16.90")</f>
        <v>114.00 x 16.90</v>
      </c>
      <c r="F320" s="8" t="str">
        <f ca="1">IFERROR(__xludf.DUMMYFUNCTION("""COMPUTED_VALUE"""),"13")</f>
        <v>13</v>
      </c>
      <c r="G320" s="8">
        <f ca="1">IFERROR(__xludf.DUMMYFUNCTION("""COMPUTED_VALUE"""),6991)</f>
        <v>6991</v>
      </c>
      <c r="H320" s="8" t="str">
        <f ca="1">IFERROR(__xludf.DUMMYFUNCTION("""COMPUTED_VALUE"""),"Y/Y Epoxy")</f>
        <v>Y/Y Epoxy</v>
      </c>
      <c r="I320" s="8" t="str">
        <f ca="1">IFERROR(__xludf.DUMMYFUNCTION("""COMPUTED_VALUE"""),"1 x 125 + 12 x 200")</f>
        <v>1 x 125 + 12 x 200</v>
      </c>
      <c r="J320" s="8" t="str">
        <f ca="1">IFERROR(__xludf.DUMMYFUNCTION("""COMPUTED_VALUE"""),"MAK")</f>
        <v>MAK</v>
      </c>
      <c r="K320" s="8" t="str">
        <f ca="1">IFERROR(__xludf.DUMMYFUNCTION("""COMPUTED_VALUE"""),"14 k")</f>
        <v>14 k</v>
      </c>
      <c r="L320" s="8" t="str">
        <f ca="1">IFERROR(__xludf.DUMMYFUNCTION("""COMPUTED_VALUE"""),"Fitted")</f>
        <v>Fitted</v>
      </c>
      <c r="M320" s="8" t="str">
        <f ca="1">IFERROR(__xludf.DUMMYFUNCTION("""COMPUTED_VALUE"""),"BV 6/26D")</f>
        <v>BV 6/26D</v>
      </c>
      <c r="N320" s="8" t="str">
        <f ca="1">IFERROR(__xludf.DUMMYFUNCTION("""COMPUTED_VALUE"""),"PG")</f>
        <v>PG</v>
      </c>
      <c r="O320" s="8" t="str">
        <f ca="1">IFERROR(__xludf.DUMMYFUNCTION("""COMPUTED_VALUE"""),"B.offers")</f>
        <v>B.offers</v>
      </c>
    </row>
    <row r="321" spans="1:15" ht="15.75" customHeight="1" x14ac:dyDescent="0.25">
      <c r="A321" s="8" t="str">
        <f ca="1">IFERROR(__xludf.DUMMYFUNCTION("""COMPUTED_VALUE"""),"TA 6712/01C")</f>
        <v>TA 6712/01C</v>
      </c>
      <c r="B321" s="8" t="str">
        <f ca="1">IFERROR(__xludf.DUMMYFUNCTION("""COMPUTED_VALUE"""),"Products CPP Tanker")</f>
        <v>Products CPP Tanker</v>
      </c>
      <c r="C321" s="9">
        <f ca="1">IFERROR(__xludf.DUMMYFUNCTION("""COMPUTED_VALUE"""),6712)</f>
        <v>6712</v>
      </c>
      <c r="D321" s="8" t="str">
        <f ca="1">IFERROR(__xludf.DUMMYFUNCTION("""COMPUTED_VALUE"""),"2001-Turkey")</f>
        <v>2001-Turkey</v>
      </c>
      <c r="E321" s="8" t="str">
        <f ca="1">IFERROR(__xludf.DUMMYFUNCTION("""COMPUTED_VALUE"""),"114.00 x 16.90")</f>
        <v>114.00 x 16.90</v>
      </c>
      <c r="F321" s="8" t="str">
        <f ca="1">IFERROR(__xludf.DUMMYFUNCTION("""COMPUTED_VALUE"""),"13")</f>
        <v>13</v>
      </c>
      <c r="G321" s="8">
        <f ca="1">IFERROR(__xludf.DUMMYFUNCTION("""COMPUTED_VALUE"""),6991)</f>
        <v>6991</v>
      </c>
      <c r="H321" s="8" t="str">
        <f ca="1">IFERROR(__xludf.DUMMYFUNCTION("""COMPUTED_VALUE"""),"Y/Y Epoxy")</f>
        <v>Y/Y Epoxy</v>
      </c>
      <c r="I321" s="8" t="str">
        <f ca="1">IFERROR(__xludf.DUMMYFUNCTION("""COMPUTED_VALUE"""),"1 x 125 + 12 x 200")</f>
        <v>1 x 125 + 12 x 200</v>
      </c>
      <c r="J321" s="8" t="str">
        <f ca="1">IFERROR(__xludf.DUMMYFUNCTION("""COMPUTED_VALUE"""),"MAK")</f>
        <v>MAK</v>
      </c>
      <c r="K321" s="8" t="str">
        <f ca="1">IFERROR(__xludf.DUMMYFUNCTION("""COMPUTED_VALUE"""),"14 k")</f>
        <v>14 k</v>
      </c>
      <c r="L321" s="8" t="str">
        <f ca="1">IFERROR(__xludf.DUMMYFUNCTION("""COMPUTED_VALUE"""),"Fitted")</f>
        <v>Fitted</v>
      </c>
      <c r="M321" s="8" t="str">
        <f ca="1">IFERROR(__xludf.DUMMYFUNCTION("""COMPUTED_VALUE"""),"BV 6/26D")</f>
        <v>BV 6/26D</v>
      </c>
      <c r="N321" s="8" t="str">
        <f ca="1">IFERROR(__xludf.DUMMYFUNCTION("""COMPUTED_VALUE"""),"PG")</f>
        <v>PG</v>
      </c>
      <c r="O321" s="8" t="str">
        <f ca="1">IFERROR(__xludf.DUMMYFUNCTION("""COMPUTED_VALUE"""),"B.offers")</f>
        <v>B.offers</v>
      </c>
    </row>
    <row r="322" spans="1:15" ht="15.75" customHeight="1" x14ac:dyDescent="0.25">
      <c r="A322" s="8" t="str">
        <f ca="1">IFERROR(__xludf.DUMMYFUNCTION("""COMPUTED_VALUE"""),"TA 6678/13")</f>
        <v>TA 6678/13</v>
      </c>
      <c r="B322" s="8" t="str">
        <f ca="1">IFERROR(__xludf.DUMMYFUNCTION("""COMPUTED_VALUE"""),"Oil/Chemical Tanker")</f>
        <v>Oil/Chemical Tanker</v>
      </c>
      <c r="C322" s="9">
        <f ca="1">IFERROR(__xludf.DUMMYFUNCTION("""COMPUTED_VALUE"""),6678)</f>
        <v>6678</v>
      </c>
      <c r="D322" s="8" t="str">
        <f ca="1">IFERROR(__xludf.DUMMYFUNCTION("""COMPUTED_VALUE"""),"2013-China")</f>
        <v>2013-China</v>
      </c>
      <c r="E322" s="8" t="str">
        <f ca="1">IFERROR(__xludf.DUMMYFUNCTION("""COMPUTED_VALUE"""),"117.18 x 16.30")</f>
        <v>117.18 x 16.30</v>
      </c>
      <c r="F322" s="8" t="str">
        <f ca="1">IFERROR(__xludf.DUMMYFUNCTION("""COMPUTED_VALUE"""),"10")</f>
        <v>10</v>
      </c>
      <c r="G322" s="8" t="str">
        <f ca="1">IFERROR(__xludf.DUMMYFUNCTION("""COMPUTED_VALUE"""),"-")</f>
        <v>-</v>
      </c>
      <c r="H322" s="8" t="str">
        <f ca="1">IFERROR(__xludf.DUMMYFUNCTION("""COMPUTED_VALUE"""),"Y Therm StSt/Y E")</f>
        <v>Y Therm StSt/Y E</v>
      </c>
      <c r="I322" s="8" t="str">
        <f ca="1">IFERROR(__xludf.DUMMYFUNCTION("""COMPUTED_VALUE"""),"-")</f>
        <v>-</v>
      </c>
      <c r="J322" s="8" t="str">
        <f ca="1">IFERROR(__xludf.DUMMYFUNCTION("""COMPUTED_VALUE"""),"Guangzhou")</f>
        <v>Guangzhou</v>
      </c>
      <c r="K322" s="8" t="str">
        <f ca="1">IFERROR(__xludf.DUMMYFUNCTION("""COMPUTED_VALUE"""),"-")</f>
        <v>-</v>
      </c>
      <c r="L322" s="8" t="str">
        <f ca="1">IFERROR(__xludf.DUMMYFUNCTION("""COMPUTED_VALUE"""),"To be chkd")</f>
        <v>To be chkd</v>
      </c>
      <c r="M322" s="8" t="str">
        <f ca="1">IFERROR(__xludf.DUMMYFUNCTION("""COMPUTED_VALUE"""),"OMCS 7/27D")</f>
        <v>OMCS 7/27D</v>
      </c>
      <c r="N322" s="8" t="str">
        <f ca="1">IFERROR(__xludf.DUMMYFUNCTION("""COMPUTED_VALUE"""),"Fareast")</f>
        <v>Fareast</v>
      </c>
      <c r="O322" s="8" t="str">
        <f ca="1">IFERROR(__xludf.DUMMYFUNCTION("""COMPUTED_VALUE"""),"B.offers")</f>
        <v>B.offers</v>
      </c>
    </row>
    <row r="323" spans="1:15" ht="15.75" customHeight="1" x14ac:dyDescent="0.25">
      <c r="A323" s="8" t="str">
        <f ca="1">IFERROR(__xludf.DUMMYFUNCTION("""COMPUTED_VALUE"""),"TA 6641/06")</f>
        <v>TA 6641/06</v>
      </c>
      <c r="B323" s="8" t="str">
        <f ca="1">IFERROR(__xludf.DUMMYFUNCTION("""COMPUTED_VALUE"""),"Oil Products Tanker")</f>
        <v>Oil Products Tanker</v>
      </c>
      <c r="C323" s="9">
        <f ca="1">IFERROR(__xludf.DUMMYFUNCTION("""COMPUTED_VALUE"""),6641)</f>
        <v>6641</v>
      </c>
      <c r="D323" s="8" t="str">
        <f ca="1">IFERROR(__xludf.DUMMYFUNCTION("""COMPUTED_VALUE"""),"2006-China")</f>
        <v>2006-China</v>
      </c>
      <c r="E323" s="8" t="str">
        <f ca="1">IFERROR(__xludf.DUMMYFUNCTION("""COMPUTED_VALUE"""),"118.00 x 17.60")</f>
        <v>118.00 x 17.60</v>
      </c>
      <c r="F323" s="8" t="str">
        <f ca="1">IFERROR(__xludf.DUMMYFUNCTION("""COMPUTED_VALUE"""),"10")</f>
        <v>10</v>
      </c>
      <c r="G323" s="8">
        <f ca="1">IFERROR(__xludf.DUMMYFUNCTION("""COMPUTED_VALUE"""),8138)</f>
        <v>8138</v>
      </c>
      <c r="H323" s="8" t="str">
        <f ca="1">IFERROR(__xludf.DUMMYFUNCTION("""COMPUTED_VALUE"""),"N/Y Epoxy")</f>
        <v>N/Y Epoxy</v>
      </c>
      <c r="I323" s="8" t="str">
        <f ca="1">IFERROR(__xludf.DUMMYFUNCTION("""COMPUTED_VALUE"""),"N.I.")</f>
        <v>N.I.</v>
      </c>
      <c r="J323" s="8" t="str">
        <f ca="1">IFERROR(__xludf.DUMMYFUNCTION("""COMPUTED_VALUE"""),"Shanxi")</f>
        <v>Shanxi</v>
      </c>
      <c r="K323" s="8" t="str">
        <f ca="1">IFERROR(__xludf.DUMMYFUNCTION("""COMPUTED_VALUE"""),"10 kn")</f>
        <v>10 kn</v>
      </c>
      <c r="L323" s="8" t="str">
        <f ca="1">IFERROR(__xludf.DUMMYFUNCTION("""COMPUTED_VALUE"""),"To be chkd")</f>
        <v>To be chkd</v>
      </c>
      <c r="M323" s="8" t="str">
        <f ca="1">IFERROR(__xludf.DUMMYFUNCTION("""COMPUTED_VALUE"""),"ZC Domestic")</f>
        <v>ZC Domestic</v>
      </c>
      <c r="N323" s="8" t="str">
        <f ca="1">IFERROR(__xludf.DUMMYFUNCTION("""COMPUTED_VALUE"""),"Fareast")</f>
        <v>Fareast</v>
      </c>
      <c r="O323" s="8" t="str">
        <f ca="1">IFERROR(__xludf.DUMMYFUNCTION("""COMPUTED_VALUE"""),"B.offers")</f>
        <v>B.offers</v>
      </c>
    </row>
    <row r="324" spans="1:15" ht="15.75" customHeight="1" x14ac:dyDescent="0.25">
      <c r="A324" s="8" t="str">
        <f ca="1">IFERROR(__xludf.DUMMYFUNCTION("""COMPUTED_VALUE"""),"TA 6638/18")</f>
        <v>TA 6638/18</v>
      </c>
      <c r="B324" s="8" t="str">
        <f ca="1">IFERROR(__xludf.DUMMYFUNCTION("""COMPUTED_VALUE"""),"Oil/Products Ice 1B Tanker")</f>
        <v>Oil/Products Ice 1B Tanker</v>
      </c>
      <c r="C324" s="9">
        <f ca="1">IFERROR(__xludf.DUMMYFUNCTION("""COMPUTED_VALUE"""),6638)</f>
        <v>6638</v>
      </c>
      <c r="D324" s="8" t="str">
        <f ca="1">IFERROR(__xludf.DUMMYFUNCTION("""COMPUTED_VALUE"""),"2018-China")</f>
        <v>2018-China</v>
      </c>
      <c r="E324" s="8" t="str">
        <f ca="1">IFERROR(__xludf.DUMMYFUNCTION("""COMPUTED_VALUE"""),"112.8 x 16.30")</f>
        <v>112.8 x 16.30</v>
      </c>
      <c r="F324" s="8" t="str">
        <f ca="1">IFERROR(__xludf.DUMMYFUNCTION("""COMPUTED_VALUE"""),"8")</f>
        <v>8</v>
      </c>
      <c r="G324" s="8">
        <f ca="1">IFERROR(__xludf.DUMMYFUNCTION("""COMPUTED_VALUE"""),10714)</f>
        <v>10714</v>
      </c>
      <c r="H324" s="8" t="str">
        <f ca="1">IFERROR(__xludf.DUMMYFUNCTION("""COMPUTED_VALUE"""),"Y/Y Epoxy")</f>
        <v>Y/Y Epoxy</v>
      </c>
      <c r="I324" s="8" t="str">
        <f ca="1">IFERROR(__xludf.DUMMYFUNCTION("""COMPUTED_VALUE"""),"2 x 700")</f>
        <v>2 x 700</v>
      </c>
      <c r="J324" s="8" t="str">
        <f ca="1">IFERROR(__xludf.DUMMYFUNCTION("""COMPUTED_VALUE"""),"Guangzhou")</f>
        <v>Guangzhou</v>
      </c>
      <c r="K324" s="8" t="str">
        <f ca="1">IFERROR(__xludf.DUMMYFUNCTION("""COMPUTED_VALUE"""),"11 kn")</f>
        <v>11 kn</v>
      </c>
      <c r="L324" s="8" t="str">
        <f ca="1">IFERROR(__xludf.DUMMYFUNCTION("""COMPUTED_VALUE"""),"Ice Class B")</f>
        <v>Ice Class B</v>
      </c>
      <c r="M324" s="8" t="str">
        <f ca="1">IFERROR(__xludf.DUMMYFUNCTION("""COMPUTED_VALUE"""),"CCS DD 3/25")</f>
        <v>CCS DD 3/25</v>
      </c>
      <c r="N324" s="8" t="str">
        <f ca="1">IFERROR(__xludf.DUMMYFUNCTION("""COMPUTED_VALUE"""),"China")</f>
        <v>China</v>
      </c>
      <c r="O324" s="8" t="str">
        <f ca="1">IFERROR(__xludf.DUMMYFUNCTION("""COMPUTED_VALUE"""),"6-5.8 m")</f>
        <v>6-5.8 m</v>
      </c>
    </row>
    <row r="325" spans="1:15" ht="15.75" customHeight="1" x14ac:dyDescent="0.25">
      <c r="A325" s="8" t="str">
        <f ca="1">IFERROR(__xludf.DUMMYFUNCTION("""COMPUTED_VALUE"""),"TA 6578/10")</f>
        <v>TA 6578/10</v>
      </c>
      <c r="B325" s="8" t="str">
        <f ca="1">IFERROR(__xludf.DUMMYFUNCTION("""COMPUTED_VALUE"""),"Chemical/Products Tanker")</f>
        <v>Chemical/Products Tanker</v>
      </c>
      <c r="C325" s="9">
        <f ca="1">IFERROR(__xludf.DUMMYFUNCTION("""COMPUTED_VALUE"""),6578)</f>
        <v>6578</v>
      </c>
      <c r="D325" s="8" t="str">
        <f ca="1">IFERROR(__xludf.DUMMYFUNCTION("""COMPUTED_VALUE"""),"2010-China")</f>
        <v>2010-China</v>
      </c>
      <c r="E325" s="8" t="str">
        <f ca="1">IFERROR(__xludf.DUMMYFUNCTION("""COMPUTED_VALUE"""),"104.9 x 17.50")</f>
        <v>104.9 x 17.50</v>
      </c>
      <c r="F325" s="8" t="str">
        <f ca="1">IFERROR(__xludf.DUMMYFUNCTION("""COMPUTED_VALUE"""),"10")</f>
        <v>10</v>
      </c>
      <c r="G325" s="8">
        <f ca="1">IFERROR(__xludf.DUMMYFUNCTION("""COMPUTED_VALUE"""),5993)</f>
        <v>5993</v>
      </c>
      <c r="H325" s="8" t="str">
        <f ca="1">IFERROR(__xludf.DUMMYFUNCTION("""COMPUTED_VALUE"""),"Y/Y Epoxy")</f>
        <v>Y/Y Epoxy</v>
      </c>
      <c r="I325" s="8" t="str">
        <f ca="1">IFERROR(__xludf.DUMMYFUNCTION("""COMPUTED_VALUE"""),"8 x 200  ")</f>
        <v xml:space="preserve">8 x 200  </v>
      </c>
      <c r="J325" s="8" t="str">
        <f ca="1">IFERROR(__xludf.DUMMYFUNCTION("""COMPUTED_VALUE"""),"Daihatsu")</f>
        <v>Daihatsu</v>
      </c>
      <c r="K325" s="8" t="str">
        <f ca="1">IFERROR(__xludf.DUMMYFUNCTION("""COMPUTED_VALUE"""),"12 kn")</f>
        <v>12 kn</v>
      </c>
      <c r="L325" s="8" t="str">
        <f ca="1">IFERROR(__xludf.DUMMYFUNCTION("""COMPUTED_VALUE"""),"To be chkd")</f>
        <v>To be chkd</v>
      </c>
      <c r="M325" s="8" t="str">
        <f ca="1">IFERROR(__xludf.DUMMYFUNCTION("""COMPUTED_VALUE"""),"CCS 9/25D")</f>
        <v>CCS 9/25D</v>
      </c>
      <c r="N325" s="8" t="str">
        <f ca="1">IFERROR(__xludf.DUMMYFUNCTION("""COMPUTED_VALUE"""),"China")</f>
        <v>China</v>
      </c>
      <c r="O325" s="8" t="str">
        <f ca="1">IFERROR(__xludf.DUMMYFUNCTION("""COMPUTED_VALUE"""),"7-6.5 m")</f>
        <v>7-6.5 m</v>
      </c>
    </row>
    <row r="326" spans="1:15" ht="15.75" customHeight="1" x14ac:dyDescent="0.25">
      <c r="A326" s="8" t="str">
        <f ca="1">IFERROR(__xludf.DUMMYFUNCTION("""COMPUTED_VALUE"""),"TA 6576/04")</f>
        <v>TA 6576/04</v>
      </c>
      <c r="B326" s="8" t="str">
        <f ca="1">IFERROR(__xludf.DUMMYFUNCTION("""COMPUTED_VALUE"""),"StSt Chemical Tanker")</f>
        <v>StSt Chemical Tanker</v>
      </c>
      <c r="C326" s="9">
        <f ca="1">IFERROR(__xludf.DUMMYFUNCTION("""COMPUTED_VALUE"""),6576)</f>
        <v>6576</v>
      </c>
      <c r="D326" s="8" t="str">
        <f ca="1">IFERROR(__xludf.DUMMYFUNCTION("""COMPUTED_VALUE"""),"2004-Japan")</f>
        <v>2004-Japan</v>
      </c>
      <c r="E326" s="8" t="str">
        <f ca="1">IFERROR(__xludf.DUMMYFUNCTION("""COMPUTED_VALUE"""),"105.9 x 16.80")</f>
        <v>105.9 x 16.80</v>
      </c>
      <c r="F326" s="8" t="str">
        <f ca="1">IFERROR(__xludf.DUMMYFUNCTION("""COMPUTED_VALUE"""),"14")</f>
        <v>14</v>
      </c>
      <c r="G326" s="8">
        <f ca="1">IFERROR(__xludf.DUMMYFUNCTION("""COMPUTED_VALUE"""),7352)</f>
        <v>7352</v>
      </c>
      <c r="H326" s="8" t="str">
        <f ca="1">IFERROR(__xludf.DUMMYFUNCTION("""COMPUTED_VALUE"""),"Y/Y st.st.")</f>
        <v>Y/Y st.st.</v>
      </c>
      <c r="I326" s="8" t="str">
        <f ca="1">IFERROR(__xludf.DUMMYFUNCTION("""COMPUTED_VALUE"""),"14 x 200")</f>
        <v>14 x 200</v>
      </c>
      <c r="J326" s="8" t="str">
        <f ca="1">IFERROR(__xludf.DUMMYFUNCTION("""COMPUTED_VALUE"""),"Mitsubishi")</f>
        <v>Mitsubishi</v>
      </c>
      <c r="K326" s="8" t="str">
        <f ca="1">IFERROR(__xludf.DUMMYFUNCTION("""COMPUTED_VALUE"""),"-")</f>
        <v>-</v>
      </c>
      <c r="L326" s="8" t="str">
        <f ca="1">IFERROR(__xludf.DUMMYFUNCTION("""COMPUTED_VALUE"""),"Fitted")</f>
        <v>Fitted</v>
      </c>
      <c r="M326" s="8" t="str">
        <f ca="1">IFERROR(__xludf.DUMMYFUNCTION("""COMPUTED_VALUE"""),"BV 12/28D")</f>
        <v>BV 12/28D</v>
      </c>
      <c r="N326" s="8" t="str">
        <f ca="1">IFERROR(__xludf.DUMMYFUNCTION("""COMPUTED_VALUE"""),"Singapore")</f>
        <v>Singapore</v>
      </c>
      <c r="O326" s="8" t="str">
        <f ca="1">IFERROR(__xludf.DUMMYFUNCTION("""COMPUTED_VALUE"""),"B.offers")</f>
        <v>B.offers</v>
      </c>
    </row>
    <row r="327" spans="1:15" ht="15.75" customHeight="1" x14ac:dyDescent="0.25">
      <c r="A327" s="8" t="str">
        <f ca="1">IFERROR(__xludf.DUMMYFUNCTION("""COMPUTED_VALUE"""),"TA 6574/10A")</f>
        <v>TA 6574/10A</v>
      </c>
      <c r="B327" s="8" t="str">
        <f ca="1">IFERROR(__xludf.DUMMYFUNCTION("""COMPUTED_VALUE"""),"Chemical Oil Tanker IMO II")</f>
        <v>Chemical Oil Tanker IMO II</v>
      </c>
      <c r="C327" s="9">
        <f ca="1">IFERROR(__xludf.DUMMYFUNCTION("""COMPUTED_VALUE"""),6574)</f>
        <v>6574</v>
      </c>
      <c r="D327" s="8" t="str">
        <f ca="1">IFERROR(__xludf.DUMMYFUNCTION("""COMPUTED_VALUE"""),"2010-China")</f>
        <v>2010-China</v>
      </c>
      <c r="E327" s="8" t="str">
        <f ca="1">IFERROR(__xludf.DUMMYFUNCTION("""COMPUTED_VALUE"""),"104.95 x 17.50")</f>
        <v>104.95 x 17.50</v>
      </c>
      <c r="F327" s="8" t="str">
        <f ca="1">IFERROR(__xludf.DUMMYFUNCTION("""COMPUTED_VALUE"""),"8")</f>
        <v>8</v>
      </c>
      <c r="G327" s="8">
        <f ca="1">IFERROR(__xludf.DUMMYFUNCTION("""COMPUTED_VALUE"""),6030)</f>
        <v>6030</v>
      </c>
      <c r="H327" s="8" t="str">
        <f ca="1">IFERROR(__xludf.DUMMYFUNCTION("""COMPUTED_VALUE"""),"Y/Y Marineline")</f>
        <v>Y/Y Marineline</v>
      </c>
      <c r="I327" s="8" t="str">
        <f ca="1">IFERROR(__xludf.DUMMYFUNCTION("""COMPUTED_VALUE"""),"8 x 200 + 2 x 100")</f>
        <v>8 x 200 + 2 x 100</v>
      </c>
      <c r="J327" s="8" t="str">
        <f ca="1">IFERROR(__xludf.DUMMYFUNCTION("""COMPUTED_VALUE"""),"Daihatsu")</f>
        <v>Daihatsu</v>
      </c>
      <c r="K327" s="8" t="str">
        <f ca="1">IFERROR(__xludf.DUMMYFUNCTION("""COMPUTED_VALUE"""),"-")</f>
        <v>-</v>
      </c>
      <c r="L327" s="8" t="str">
        <f ca="1">IFERROR(__xludf.DUMMYFUNCTION("""COMPUTED_VALUE"""),"Fitted")</f>
        <v>Fitted</v>
      </c>
      <c r="M327" s="8" t="str">
        <f ca="1">IFERROR(__xludf.DUMMYFUNCTION("""COMPUTED_VALUE"""),"CCS 2/30D")</f>
        <v>CCS 2/30D</v>
      </c>
      <c r="N327" s="8" t="str">
        <f ca="1">IFERROR(__xludf.DUMMYFUNCTION("""COMPUTED_VALUE"""),"Fareast")</f>
        <v>Fareast</v>
      </c>
      <c r="O327" s="8" t="str">
        <f ca="1">IFERROR(__xludf.DUMMYFUNCTION("""COMPUTED_VALUE"""),"B.offers")</f>
        <v>B.offers</v>
      </c>
    </row>
    <row r="328" spans="1:15" ht="15.75" customHeight="1" x14ac:dyDescent="0.25">
      <c r="A328" s="8" t="str">
        <f ca="1">IFERROR(__xludf.DUMMYFUNCTION("""COMPUTED_VALUE"""),"TA 6574/10B")</f>
        <v>TA 6574/10B</v>
      </c>
      <c r="B328" s="8" t="str">
        <f ca="1">IFERROR(__xludf.DUMMYFUNCTION("""COMPUTED_VALUE"""),"Chemical Oil Tanker IMO II")</f>
        <v>Chemical Oil Tanker IMO II</v>
      </c>
      <c r="C328" s="9">
        <f ca="1">IFERROR(__xludf.DUMMYFUNCTION("""COMPUTED_VALUE"""),6574)</f>
        <v>6574</v>
      </c>
      <c r="D328" s="8" t="str">
        <f ca="1">IFERROR(__xludf.DUMMYFUNCTION("""COMPUTED_VALUE"""),"2010-China")</f>
        <v>2010-China</v>
      </c>
      <c r="E328" s="8" t="str">
        <f ca="1">IFERROR(__xludf.DUMMYFUNCTION("""COMPUTED_VALUE"""),"104.95 x 17.50")</f>
        <v>104.95 x 17.50</v>
      </c>
      <c r="F328" s="8" t="str">
        <f ca="1">IFERROR(__xludf.DUMMYFUNCTION("""COMPUTED_VALUE"""),"8")</f>
        <v>8</v>
      </c>
      <c r="G328" s="8">
        <f ca="1">IFERROR(__xludf.DUMMYFUNCTION("""COMPUTED_VALUE"""),6030)</f>
        <v>6030</v>
      </c>
      <c r="H328" s="8" t="str">
        <f ca="1">IFERROR(__xludf.DUMMYFUNCTION("""COMPUTED_VALUE"""),"Y/Y Marineline")</f>
        <v>Y/Y Marineline</v>
      </c>
      <c r="I328" s="8" t="str">
        <f ca="1">IFERROR(__xludf.DUMMYFUNCTION("""COMPUTED_VALUE"""),"8X200 + 2 X 100")</f>
        <v>8X200 + 2 X 100</v>
      </c>
      <c r="J328" s="8" t="str">
        <f ca="1">IFERROR(__xludf.DUMMYFUNCTION("""COMPUTED_VALUE"""),"Daihatsu")</f>
        <v>Daihatsu</v>
      </c>
      <c r="K328" s="8" t="str">
        <f ca="1">IFERROR(__xludf.DUMMYFUNCTION("""COMPUTED_VALUE"""),"-")</f>
        <v>-</v>
      </c>
      <c r="L328" s="8" t="str">
        <f ca="1">IFERROR(__xludf.DUMMYFUNCTION("""COMPUTED_VALUE"""),"Fitted")</f>
        <v>Fitted</v>
      </c>
      <c r="M328" s="8" t="str">
        <f ca="1">IFERROR(__xludf.DUMMYFUNCTION("""COMPUTED_VALUE"""),"CCS 9/25D")</f>
        <v>CCS 9/25D</v>
      </c>
      <c r="N328" s="8" t="str">
        <f ca="1">IFERROR(__xludf.DUMMYFUNCTION("""COMPUTED_VALUE"""),"Fareast")</f>
        <v>Fareast</v>
      </c>
      <c r="O328" s="8" t="str">
        <f ca="1">IFERROR(__xludf.DUMMYFUNCTION("""COMPUTED_VALUE"""),"B.offers")</f>
        <v>B.offers</v>
      </c>
    </row>
    <row r="329" spans="1:15" ht="15.75" customHeight="1" x14ac:dyDescent="0.25">
      <c r="A329" s="8" t="str">
        <f ca="1">IFERROR(__xludf.DUMMYFUNCTION("""COMPUTED_VALUE"""),"TA 6561/08")</f>
        <v>TA 6561/08</v>
      </c>
      <c r="B329" s="8" t="str">
        <f ca="1">IFERROR(__xludf.DUMMYFUNCTION("""COMPUTED_VALUE"""),"Chemical Tanker")</f>
        <v>Chemical Tanker</v>
      </c>
      <c r="C329" s="9">
        <f ca="1">IFERROR(__xludf.DUMMYFUNCTION("""COMPUTED_VALUE"""),6561)</f>
        <v>6561</v>
      </c>
      <c r="D329" s="8" t="str">
        <f ca="1">IFERROR(__xludf.DUMMYFUNCTION("""COMPUTED_VALUE"""),"2008-Vietnam")</f>
        <v>2008-Vietnam</v>
      </c>
      <c r="E329" s="8" t="str">
        <f ca="1">IFERROR(__xludf.DUMMYFUNCTION("""COMPUTED_VALUE"""),"110.9 x 18.20")</f>
        <v>110.9 x 18.20</v>
      </c>
      <c r="F329" s="8" t="str">
        <f ca="1">IFERROR(__xludf.DUMMYFUNCTION("""COMPUTED_VALUE"""),"12")</f>
        <v>12</v>
      </c>
      <c r="G329" s="8">
        <f ca="1">IFERROR(__xludf.DUMMYFUNCTION("""COMPUTED_VALUE"""),7531)</f>
        <v>7531</v>
      </c>
      <c r="H329" s="8" t="str">
        <f ca="1">IFERROR(__xludf.DUMMYFUNCTION("""COMPUTED_VALUE"""),"Y st.st/Y Epoxy")</f>
        <v>Y st.st/Y Epoxy</v>
      </c>
      <c r="I329" s="8" t="str">
        <f ca="1">IFERROR(__xludf.DUMMYFUNCTION("""COMPUTED_VALUE"""),"12 x 200 Deepw")</f>
        <v>12 x 200 Deepw</v>
      </c>
      <c r="J329" s="8" t="str">
        <f ca="1">IFERROR(__xludf.DUMMYFUNCTION("""COMPUTED_VALUE"""),"Hanshin")</f>
        <v>Hanshin</v>
      </c>
      <c r="K329" s="8" t="str">
        <f ca="1">IFERROR(__xludf.DUMMYFUNCTION("""COMPUTED_VALUE"""),"-")</f>
        <v>-</v>
      </c>
      <c r="L329" s="8" t="str">
        <f ca="1">IFERROR(__xludf.DUMMYFUNCTION("""COMPUTED_VALUE"""),"To be chkd")</f>
        <v>To be chkd</v>
      </c>
      <c r="M329" s="8" t="str">
        <f ca="1">IFERROR(__xludf.DUMMYFUNCTION("""COMPUTED_VALUE"""),"KR 5/28D")</f>
        <v>KR 5/28D</v>
      </c>
      <c r="N329" s="8" t="str">
        <f ca="1">IFERROR(__xludf.DUMMYFUNCTION("""COMPUTED_VALUE"""),"Fareast")</f>
        <v>Fareast</v>
      </c>
      <c r="O329" s="8" t="str">
        <f ca="1">IFERROR(__xludf.DUMMYFUNCTION("""COMPUTED_VALUE"""),"B.offers")</f>
        <v>B.offers</v>
      </c>
    </row>
    <row r="330" spans="1:15" ht="15.75" customHeight="1" x14ac:dyDescent="0.25">
      <c r="A330" s="8" t="str">
        <f ca="1">IFERROR(__xludf.DUMMYFUNCTION("""COMPUTED_VALUE"""),"TA 6330/23")</f>
        <v>TA 6330/23</v>
      </c>
      <c r="B330" s="8" t="str">
        <f ca="1">IFERROR(__xludf.DUMMYFUNCTION("""COMPUTED_VALUE"""),"Chemical/Oil Tanker")</f>
        <v>Chemical/Oil Tanker</v>
      </c>
      <c r="C330" s="9">
        <f ca="1">IFERROR(__xludf.DUMMYFUNCTION("""COMPUTED_VALUE"""),6330)</f>
        <v>6330</v>
      </c>
      <c r="D330" s="8" t="str">
        <f ca="1">IFERROR(__xludf.DUMMYFUNCTION("""COMPUTED_VALUE"""),"2023-China")</f>
        <v>2023-China</v>
      </c>
      <c r="E330" s="8" t="str">
        <f ca="1">IFERROR(__xludf.DUMMYFUNCTION("""COMPUTED_VALUE"""),"110.00 X 15.80")</f>
        <v>110.00 X 15.80</v>
      </c>
      <c r="F330" s="8" t="str">
        <f ca="1">IFERROR(__xludf.DUMMYFUNCTION("""COMPUTED_VALUE"""),"12")</f>
        <v>12</v>
      </c>
      <c r="G330" s="8">
        <f ca="1">IFERROR(__xludf.DUMMYFUNCTION("""COMPUTED_VALUE"""),6907)</f>
        <v>6907</v>
      </c>
      <c r="H330" s="8" t="str">
        <f ca="1">IFERROR(__xludf.DUMMYFUNCTION("""COMPUTED_VALUE"""),"N/Y Epoxy")</f>
        <v>N/Y Epoxy</v>
      </c>
      <c r="I330" s="8" t="str">
        <f ca="1">IFERROR(__xludf.DUMMYFUNCTION("""COMPUTED_VALUE"""),"-")</f>
        <v>-</v>
      </c>
      <c r="J330" s="8" t="str">
        <f ca="1">IFERROR(__xludf.DUMMYFUNCTION("""COMPUTED_VALUE"""),"Chinese Std")</f>
        <v>Chinese Std</v>
      </c>
      <c r="K330" s="8" t="str">
        <f ca="1">IFERROR(__xludf.DUMMYFUNCTION("""COMPUTED_VALUE"""),"11.23k/8.8 t")</f>
        <v>11.23k/8.8 t</v>
      </c>
      <c r="L330" s="8" t="str">
        <f ca="1">IFERROR(__xludf.DUMMYFUNCTION("""COMPUTED_VALUE"""),"Fitted")</f>
        <v>Fitted</v>
      </c>
      <c r="M330" s="8" t="str">
        <f ca="1">IFERROR(__xludf.DUMMYFUNCTION("""COMPUTED_VALUE"""),"BV 8/28D")</f>
        <v>BV 8/28D</v>
      </c>
      <c r="N330" s="8" t="str">
        <f ca="1">IFERROR(__xludf.DUMMYFUNCTION("""COMPUTED_VALUE"""),"China")</f>
        <v>China</v>
      </c>
      <c r="O330" s="8" t="str">
        <f ca="1">IFERROR(__xludf.DUMMYFUNCTION("""COMPUTED_VALUE"""),"B.offers")</f>
        <v>B.offers</v>
      </c>
    </row>
    <row r="331" spans="1:15" ht="15.75" customHeight="1" x14ac:dyDescent="0.25">
      <c r="A331" s="8" t="str">
        <f ca="1">IFERROR(__xludf.DUMMYFUNCTION("""COMPUTED_VALUE"""),"TA 6270/25")</f>
        <v>TA 6270/25</v>
      </c>
      <c r="B331" s="8" t="str">
        <f ca="1">IFERROR(__xludf.DUMMYFUNCTION("""COMPUTED_VALUE"""),"Chemical/Oil Prods IMO 2 Tker")</f>
        <v>Chemical/Oil Prods IMO 2 Tker</v>
      </c>
      <c r="C331" s="9">
        <f ca="1">IFERROR(__xludf.DUMMYFUNCTION("""COMPUTED_VALUE"""),6270)</f>
        <v>6270</v>
      </c>
      <c r="D331" s="8" t="str">
        <f ca="1">IFERROR(__xludf.DUMMYFUNCTION("""COMPUTED_VALUE"""),"2025-China")</f>
        <v>2025-China</v>
      </c>
      <c r="E331" s="8" t="str">
        <f ca="1">IFERROR(__xludf.DUMMYFUNCTION("""COMPUTED_VALUE"""),"117.45 x 17.20")</f>
        <v>117.45 x 17.20</v>
      </c>
      <c r="F331" s="8" t="str">
        <f ca="1">IFERROR(__xludf.DUMMYFUNCTION("""COMPUTED_VALUE"""),"12")</f>
        <v>12</v>
      </c>
      <c r="G331" s="8">
        <f ca="1">IFERROR(__xludf.DUMMYFUNCTION("""COMPUTED_VALUE"""),9269)</f>
        <v>9269</v>
      </c>
      <c r="H331" s="8" t="str">
        <f ca="1">IFERROR(__xludf.DUMMYFUNCTION("""COMPUTED_VALUE"""),"Y stst/Y stst")</f>
        <v>Y stst/Y stst</v>
      </c>
      <c r="I331" s="8" t="str">
        <f ca="1">IFERROR(__xludf.DUMMYFUNCTION("""COMPUTED_VALUE"""),"?")</f>
        <v>?</v>
      </c>
      <c r="J331" s="8" t="str">
        <f ca="1">IFERROR(__xludf.DUMMYFUNCTION("""COMPUTED_VALUE"""),"Daihatsu")</f>
        <v>Daihatsu</v>
      </c>
      <c r="K331" s="8" t="str">
        <f ca="1">IFERROR(__xludf.DUMMYFUNCTION("""COMPUTED_VALUE"""),"13.8 k")</f>
        <v>13.8 k</v>
      </c>
      <c r="L331" s="8" t="str">
        <f ca="1">IFERROR(__xludf.DUMMYFUNCTION("""COMPUTED_VALUE"""),"To be chkd")</f>
        <v>To be chkd</v>
      </c>
      <c r="M331" s="8" t="str">
        <f ca="1">IFERROR(__xludf.DUMMYFUNCTION("""COMPUTED_VALUE"""),"CCS 3/30D")</f>
        <v>CCS 3/30D</v>
      </c>
      <c r="N331" s="8" t="str">
        <f ca="1">IFERROR(__xludf.DUMMYFUNCTION("""COMPUTED_VALUE"""),"China")</f>
        <v>China</v>
      </c>
      <c r="O331" s="8" t="str">
        <f ca="1">IFERROR(__xludf.DUMMYFUNCTION("""COMPUTED_VALUE"""),"B.offers")</f>
        <v>B.offers</v>
      </c>
    </row>
    <row r="332" spans="1:15" ht="15.75" customHeight="1" x14ac:dyDescent="0.25">
      <c r="A332" s="8" t="str">
        <f ca="1">IFERROR(__xludf.DUMMYFUNCTION("""COMPUTED_VALUE"""),"TA 6249/98")</f>
        <v>TA 6249/98</v>
      </c>
      <c r="B332" s="8" t="str">
        <f ca="1">IFERROR(__xludf.DUMMYFUNCTION("""COMPUTED_VALUE"""),"Oil Products Tanker")</f>
        <v>Oil Products Tanker</v>
      </c>
      <c r="C332" s="9">
        <f ca="1">IFERROR(__xludf.DUMMYFUNCTION("""COMPUTED_VALUE"""),6249)</f>
        <v>6249</v>
      </c>
      <c r="D332" s="8" t="str">
        <f ca="1">IFERROR(__xludf.DUMMYFUNCTION("""COMPUTED_VALUE"""),"1998-UK")</f>
        <v>1998-UK</v>
      </c>
      <c r="E332" s="8" t="str">
        <f ca="1">IFERROR(__xludf.DUMMYFUNCTION("""COMPUTED_VALUE"""),"102.05 x 16.00")</f>
        <v>102.05 x 16.00</v>
      </c>
      <c r="F332" s="8" t="str">
        <f ca="1">IFERROR(__xludf.DUMMYFUNCTION("""COMPUTED_VALUE"""),"13")</f>
        <v>13</v>
      </c>
      <c r="G332" s="8">
        <f ca="1">IFERROR(__xludf.DUMMYFUNCTION("""COMPUTED_VALUE"""),7012)</f>
        <v>7012</v>
      </c>
      <c r="H332" s="8" t="str">
        <f ca="1">IFERROR(__xludf.DUMMYFUNCTION("""COMPUTED_VALUE"""),"N/Y Epoxy")</f>
        <v>N/Y Epoxy</v>
      </c>
      <c r="I332" s="8" t="str">
        <f ca="1">IFERROR(__xludf.DUMMYFUNCTION("""COMPUTED_VALUE"""),"12 x 125")</f>
        <v>12 x 125</v>
      </c>
      <c r="J332" s="8" t="str">
        <f ca="1">IFERROR(__xludf.DUMMYFUNCTION("""COMPUTED_VALUE"""),"MAK")</f>
        <v>MAK</v>
      </c>
      <c r="K332" s="8" t="str">
        <f ca="1">IFERROR(__xludf.DUMMYFUNCTION("""COMPUTED_VALUE"""),"-")</f>
        <v>-</v>
      </c>
      <c r="L332" s="8" t="str">
        <f ca="1">IFERROR(__xludf.DUMMYFUNCTION("""COMPUTED_VALUE"""),"Fitted")</f>
        <v>Fitted</v>
      </c>
      <c r="M332" s="8" t="str">
        <f ca="1">IFERROR(__xludf.DUMMYFUNCTION("""COMPUTED_VALUE"""),"PMDS11/26D")</f>
        <v>PMDS11/26D</v>
      </c>
      <c r="N332" s="8" t="str">
        <f ca="1">IFERROR(__xludf.DUMMYFUNCTION("""COMPUTED_VALUE"""),"Greece/Med")</f>
        <v>Greece/Med</v>
      </c>
      <c r="O332" s="8" t="str">
        <f ca="1">IFERROR(__xludf.DUMMYFUNCTION("""COMPUTED_VALUE"""),"B.offers")</f>
        <v>B.offers</v>
      </c>
    </row>
    <row r="333" spans="1:15" ht="15.75" customHeight="1" x14ac:dyDescent="0.25">
      <c r="A333" s="8" t="str">
        <f ca="1">IFERROR(__xludf.DUMMYFUNCTION("""COMPUTED_VALUE"""),"TA 6239/13")</f>
        <v>TA 6239/13</v>
      </c>
      <c r="B333" s="8" t="str">
        <f ca="1">IFERROR(__xludf.DUMMYFUNCTION("""COMPUTED_VALUE"""),"Prod/Chem Ice 1C IMO 2")</f>
        <v>Prod/Chem Ice 1C IMO 2</v>
      </c>
      <c r="C333" s="9">
        <f ca="1">IFERROR(__xludf.DUMMYFUNCTION("""COMPUTED_VALUE"""),6239)</f>
        <v>6239</v>
      </c>
      <c r="D333" s="8" t="str">
        <f ca="1">IFERROR(__xludf.DUMMYFUNCTION("""COMPUTED_VALUE"""),"2013-Turkey")</f>
        <v>2013-Turkey</v>
      </c>
      <c r="E333" s="8" t="str">
        <f ca="1">IFERROR(__xludf.DUMMYFUNCTION("""COMPUTED_VALUE"""),"121.62 x 16.00")</f>
        <v>121.62 x 16.00</v>
      </c>
      <c r="F333" s="8" t="str">
        <f ca="1">IFERROR(__xludf.DUMMYFUNCTION("""COMPUTED_VALUE"""),"12")</f>
        <v>12</v>
      </c>
      <c r="G333" s="8">
        <f ca="1">IFERROR(__xludf.DUMMYFUNCTION("""COMPUTED_VALUE"""),7089)</f>
        <v>7089</v>
      </c>
      <c r="H333" s="8" t="str">
        <f ca="1">IFERROR(__xludf.DUMMYFUNCTION("""COMPUTED_VALUE"""),"Y/N")</f>
        <v>Y/N</v>
      </c>
      <c r="I333" s="8">
        <f ca="1">IFERROR(__xludf.DUMMYFUNCTION("""COMPUTED_VALUE"""),12)</f>
        <v>12</v>
      </c>
      <c r="J333" s="8" t="str">
        <f ca="1">IFERROR(__xludf.DUMMYFUNCTION("""COMPUTED_VALUE"""),"MAK")</f>
        <v>MAK</v>
      </c>
      <c r="K333" s="8" t="str">
        <f ca="1">IFERROR(__xludf.DUMMYFUNCTION("""COMPUTED_VALUE"""),"14k")</f>
        <v>14k</v>
      </c>
      <c r="L333" s="8" t="str">
        <f ca="1">IFERROR(__xludf.DUMMYFUNCTION("""COMPUTED_VALUE"""),"To be chkd")</f>
        <v>To be chkd</v>
      </c>
      <c r="M333" s="8" t="str">
        <f ca="1">IFERROR(__xludf.DUMMYFUNCTION("""COMPUTED_VALUE"""),"BV 6/28D")</f>
        <v>BV 6/28D</v>
      </c>
      <c r="N333" s="8" t="str">
        <f ca="1">IFERROR(__xludf.DUMMYFUNCTION("""COMPUTED_VALUE"""),"Med")</f>
        <v>Med</v>
      </c>
      <c r="O333" s="8" t="str">
        <f ca="1">IFERROR(__xludf.DUMMYFUNCTION("""COMPUTED_VALUE"""),"B.offers")</f>
        <v>B.offers</v>
      </c>
    </row>
    <row r="334" spans="1:15" ht="15.75" customHeight="1" x14ac:dyDescent="0.25">
      <c r="A334" s="8" t="str">
        <f ca="1">IFERROR(__xludf.DUMMYFUNCTION("""COMPUTED_VALUE"""),"TA 6192/10")</f>
        <v>TA 6192/10</v>
      </c>
      <c r="B334" s="8" t="str">
        <f ca="1">IFERROR(__xludf.DUMMYFUNCTION("""COMPUTED_VALUE"""),"Asphalt / Bitumen Tanker")</f>
        <v>Asphalt / Bitumen Tanker</v>
      </c>
      <c r="C334" s="9">
        <f ca="1">IFERROR(__xludf.DUMMYFUNCTION("""COMPUTED_VALUE"""),6192)</f>
        <v>6192</v>
      </c>
      <c r="D334" s="8" t="str">
        <f ca="1">IFERROR(__xludf.DUMMYFUNCTION("""COMPUTED_VALUE"""),"2010-China")</f>
        <v>2010-China</v>
      </c>
      <c r="E334" s="8" t="str">
        <f ca="1">IFERROR(__xludf.DUMMYFUNCTION("""COMPUTED_VALUE"""),"106.8 x 17.60")</f>
        <v>106.8 x 17.60</v>
      </c>
      <c r="F334" s="8" t="str">
        <f ca="1">IFERROR(__xludf.DUMMYFUNCTION("""COMPUTED_VALUE"""),"8")</f>
        <v>8</v>
      </c>
      <c r="G334" s="8">
        <f ca="1">IFERROR(__xludf.DUMMYFUNCTION("""COMPUTED_VALUE"""),5748)</f>
        <v>5748</v>
      </c>
      <c r="H334" s="8" t="str">
        <f ca="1">IFERROR(__xludf.DUMMYFUNCTION("""COMPUTED_VALUE"""),"Y/N")</f>
        <v>Y/N</v>
      </c>
      <c r="I334" s="8" t="str">
        <f ca="1">IFERROR(__xludf.DUMMYFUNCTION("""COMPUTED_VALUE"""),"2 X 320")</f>
        <v>2 X 320</v>
      </c>
      <c r="J334" s="8" t="str">
        <f ca="1">IFERROR(__xludf.DUMMYFUNCTION("""COMPUTED_VALUE"""),"Qingdao Zi.")</f>
        <v>Qingdao Zi.</v>
      </c>
      <c r="K334" s="8" t="str">
        <f ca="1">IFERROR(__xludf.DUMMYFUNCTION("""COMPUTED_VALUE"""),"13.35k/12.7t")</f>
        <v>13.35k/12.7t</v>
      </c>
      <c r="L334" s="8" t="str">
        <f ca="1">IFERROR(__xludf.DUMMYFUNCTION("""COMPUTED_VALUE"""),"To be chkd")</f>
        <v>To be chkd</v>
      </c>
      <c r="M334" s="8" t="str">
        <f ca="1">IFERROR(__xludf.DUMMYFUNCTION("""COMPUTED_VALUE"""),"BV 4/25D")</f>
        <v>BV 4/25D</v>
      </c>
      <c r="N334" s="8" t="str">
        <f ca="1">IFERROR(__xludf.DUMMYFUNCTION("""COMPUTED_VALUE"""),"China")</f>
        <v>China</v>
      </c>
      <c r="O334" s="8" t="str">
        <f ca="1">IFERROR(__xludf.DUMMYFUNCTION("""COMPUTED_VALUE"""),"B.offers")</f>
        <v>B.offers</v>
      </c>
    </row>
    <row r="335" spans="1:15" ht="15.75" customHeight="1" x14ac:dyDescent="0.25">
      <c r="A335" s="8" t="str">
        <f ca="1">IFERROR(__xludf.DUMMYFUNCTION("""COMPUTED_VALUE"""),"TA 6163/09")</f>
        <v>TA 6163/09</v>
      </c>
      <c r="B335" s="8" t="str">
        <f ca="1">IFERROR(__xludf.DUMMYFUNCTION("""COMPUTED_VALUE"""),"Asphalt / Bitumen Tanker")</f>
        <v>Asphalt / Bitumen Tanker</v>
      </c>
      <c r="C335" s="9">
        <f ca="1">IFERROR(__xludf.DUMMYFUNCTION("""COMPUTED_VALUE"""),6163)</f>
        <v>6163</v>
      </c>
      <c r="D335" s="8" t="str">
        <f ca="1">IFERROR(__xludf.DUMMYFUNCTION("""COMPUTED_VALUE"""),"2009-China")</f>
        <v>2009-China</v>
      </c>
      <c r="E335" s="8" t="str">
        <f ca="1">IFERROR(__xludf.DUMMYFUNCTION("""COMPUTED_VALUE"""),"106.8 x 17.60")</f>
        <v>106.8 x 17.60</v>
      </c>
      <c r="F335" s="8" t="str">
        <f ca="1">IFERROR(__xludf.DUMMYFUNCTION("""COMPUTED_VALUE"""),"8")</f>
        <v>8</v>
      </c>
      <c r="G335" s="8">
        <f ca="1">IFERROR(__xludf.DUMMYFUNCTION("""COMPUTED_VALUE"""),5748)</f>
        <v>5748</v>
      </c>
      <c r="H335" s="8" t="str">
        <f ca="1">IFERROR(__xludf.DUMMYFUNCTION("""COMPUTED_VALUE"""),"Y/N")</f>
        <v>Y/N</v>
      </c>
      <c r="I335" s="8" t="str">
        <f ca="1">IFERROR(__xludf.DUMMYFUNCTION("""COMPUTED_VALUE"""),"2 x 320")</f>
        <v>2 x 320</v>
      </c>
      <c r="J335" s="8" t="str">
        <f ca="1">IFERROR(__xludf.DUMMYFUNCTION("""COMPUTED_VALUE"""),"Yanmar")</f>
        <v>Yanmar</v>
      </c>
      <c r="K335" s="8" t="str">
        <f ca="1">IFERROR(__xludf.DUMMYFUNCTION("""COMPUTED_VALUE"""),"-")</f>
        <v>-</v>
      </c>
      <c r="L335" s="8" t="str">
        <f ca="1">IFERROR(__xludf.DUMMYFUNCTION("""COMPUTED_VALUE""")," To be chkd")</f>
        <v xml:space="preserve"> To be chkd</v>
      </c>
      <c r="M335" s="8" t="str">
        <f ca="1">IFERROR(__xludf.DUMMYFUNCTION("""COMPUTED_VALUE"""),"BV 8/29D")</f>
        <v>BV 8/29D</v>
      </c>
      <c r="N335" s="8" t="str">
        <f ca="1">IFERROR(__xludf.DUMMYFUNCTION("""COMPUTED_VALUE"""),"China")</f>
        <v>China</v>
      </c>
      <c r="O335" s="8" t="str">
        <f ca="1">IFERROR(__xludf.DUMMYFUNCTION("""COMPUTED_VALUE"""),"8.5 m")</f>
        <v>8.5 m</v>
      </c>
    </row>
    <row r="336" spans="1:15" ht="15.75" customHeight="1" x14ac:dyDescent="0.25">
      <c r="A336" s="8" t="str">
        <f ca="1">IFERROR(__xludf.DUMMYFUNCTION("""COMPUTED_VALUE"""),"TA 6151/12")</f>
        <v>TA 6151/12</v>
      </c>
      <c r="B336" s="8" t="str">
        <f ca="1">IFERROR(__xludf.DUMMYFUNCTION("""COMPUTED_VALUE"""),"Oil Tanker")</f>
        <v>Oil Tanker</v>
      </c>
      <c r="C336" s="9">
        <f ca="1">IFERROR(__xludf.DUMMYFUNCTION("""COMPUTED_VALUE"""),6151)</f>
        <v>6151</v>
      </c>
      <c r="D336" s="8" t="str">
        <f ca="1">IFERROR(__xludf.DUMMYFUNCTION("""COMPUTED_VALUE"""),"2012-China")</f>
        <v>2012-China</v>
      </c>
      <c r="E336" s="8" t="str">
        <f ca="1">IFERROR(__xludf.DUMMYFUNCTION("""COMPUTED_VALUE"""),"105.71 x 12.00")</f>
        <v>105.71 x 12.00</v>
      </c>
      <c r="F336" s="8" t="str">
        <f ca="1">IFERROR(__xludf.DUMMYFUNCTION("""COMPUTED_VALUE"""),"12")</f>
        <v>12</v>
      </c>
      <c r="G336" s="8" t="str">
        <f ca="1">IFERROR(__xludf.DUMMYFUNCTION("""COMPUTED_VALUE"""),"?")</f>
        <v>?</v>
      </c>
      <c r="H336" s="8" t="str">
        <f ca="1">IFERROR(__xludf.DUMMYFUNCTION("""COMPUTED_VALUE"""),"?/:")</f>
        <v>?/:</v>
      </c>
      <c r="I336" s="8" t="str">
        <f ca="1">IFERROR(__xludf.DUMMYFUNCTION("""COMPUTED_VALUE"""),"?")</f>
        <v>?</v>
      </c>
      <c r="J336" s="8" t="str">
        <f ca="1">IFERROR(__xludf.DUMMYFUNCTION("""COMPUTED_VALUE"""),"Ningbo")</f>
        <v>Ningbo</v>
      </c>
      <c r="K336" s="8"/>
      <c r="L336" s="8" t="str">
        <f ca="1">IFERROR(__xludf.DUMMYFUNCTION("""COMPUTED_VALUE"""),"To be chkd")</f>
        <v>To be chkd</v>
      </c>
      <c r="M336" s="8" t="str">
        <f ca="1">IFERROR(__xludf.DUMMYFUNCTION("""COMPUTED_VALUE"""),"?")</f>
        <v>?</v>
      </c>
      <c r="N336" s="8" t="str">
        <f ca="1">IFERROR(__xludf.DUMMYFUNCTION("""COMPUTED_VALUE"""),"China")</f>
        <v>China</v>
      </c>
      <c r="O336" s="8" t="str">
        <f ca="1">IFERROR(__xludf.DUMMYFUNCTION("""COMPUTED_VALUE"""),"B.offers")</f>
        <v>B.offers</v>
      </c>
    </row>
    <row r="337" spans="1:15" ht="15.75" customHeight="1" x14ac:dyDescent="0.25">
      <c r="A337" s="8" t="str">
        <f ca="1">IFERROR(__xludf.DUMMYFUNCTION("""COMPUTED_VALUE"""),"TA 6137/08")</f>
        <v>TA 6137/08</v>
      </c>
      <c r="B337" s="8" t="str">
        <f ca="1">IFERROR(__xludf.DUMMYFUNCTION("""COMPUTED_VALUE"""),"Products/Chem.IMO 2+3 Tanker")</f>
        <v>Products/Chem.IMO 2+3 Tanker</v>
      </c>
      <c r="C337" s="9">
        <f ca="1">IFERROR(__xludf.DUMMYFUNCTION("""COMPUTED_VALUE"""),6137)</f>
        <v>6137</v>
      </c>
      <c r="D337" s="8" t="str">
        <f ca="1">IFERROR(__xludf.DUMMYFUNCTION("""COMPUTED_VALUE"""),"2008-Japan")</f>
        <v>2008-Japan</v>
      </c>
      <c r="E337" s="8" t="str">
        <f ca="1">IFERROR(__xludf.DUMMYFUNCTION("""COMPUTED_VALUE"""),"104.8 x 16.30")</f>
        <v>104.8 x 16.30</v>
      </c>
      <c r="F337" s="8" t="str">
        <f ca="1">IFERROR(__xludf.DUMMYFUNCTION("""COMPUTED_VALUE"""),"11")</f>
        <v>11</v>
      </c>
      <c r="G337" s="8">
        <f ca="1">IFERROR(__xludf.DUMMYFUNCTION("""COMPUTED_VALUE"""),6880)</f>
        <v>6880</v>
      </c>
      <c r="H337" s="8" t="str">
        <f ca="1">IFERROR(__xludf.DUMMYFUNCTION("""COMPUTED_VALUE"""),"N/Y Epoxy")</f>
        <v>N/Y Epoxy</v>
      </c>
      <c r="I337" s="8" t="str">
        <f ca="1">IFERROR(__xludf.DUMMYFUNCTION("""COMPUTED_VALUE"""),"10 X 200")</f>
        <v>10 X 200</v>
      </c>
      <c r="J337" s="8" t="str">
        <f ca="1">IFERROR(__xludf.DUMMYFUNCTION("""COMPUTED_VALUE"""),"Hanshin")</f>
        <v>Hanshin</v>
      </c>
      <c r="K337" s="8" t="str">
        <f ca="1">IFERROR(__xludf.DUMMYFUNCTION("""COMPUTED_VALUE"""),"12.3 k")</f>
        <v>12.3 k</v>
      </c>
      <c r="L337" s="8" t="str">
        <f ca="1">IFERROR(__xludf.DUMMYFUNCTION("""COMPUTED_VALUE"""),"Fitted")</f>
        <v>Fitted</v>
      </c>
      <c r="M337" s="8" t="str">
        <f ca="1">IFERROR(__xludf.DUMMYFUNCTION("""COMPUTED_VALUE"""),"BV 6/27D")</f>
        <v>BV 6/27D</v>
      </c>
      <c r="N337" s="8" t="str">
        <f ca="1">IFERROR(__xludf.DUMMYFUNCTION("""COMPUTED_VALUE"""),"Cont/Med")</f>
        <v>Cont/Med</v>
      </c>
      <c r="O337" s="8" t="str">
        <f ca="1">IFERROR(__xludf.DUMMYFUNCTION("""COMPUTED_VALUE"""),"B.offers")</f>
        <v>B.offers</v>
      </c>
    </row>
    <row r="338" spans="1:15" ht="15.75" customHeight="1" x14ac:dyDescent="0.25">
      <c r="A338" s="8" t="str">
        <f ca="1">IFERROR(__xludf.DUMMYFUNCTION("""COMPUTED_VALUE"""),"TA 6137/08")</f>
        <v>TA 6137/08</v>
      </c>
      <c r="B338" s="8" t="str">
        <f ca="1">IFERROR(__xludf.DUMMYFUNCTION("""COMPUTED_VALUE"""),"Chemical Tanker Ice 1D")</f>
        <v>Chemical Tanker Ice 1D</v>
      </c>
      <c r="C338" s="9">
        <f ca="1">IFERROR(__xludf.DUMMYFUNCTION("""COMPUTED_VALUE"""),6137)</f>
        <v>6137</v>
      </c>
      <c r="D338" s="8" t="str">
        <f ca="1">IFERROR(__xludf.DUMMYFUNCTION("""COMPUTED_VALUE"""),"2008-Turkey")</f>
        <v>2008-Turkey</v>
      </c>
      <c r="E338" s="8" t="str">
        <f ca="1">IFERROR(__xludf.DUMMYFUNCTION("""COMPUTED_VALUE"""),"107.34 x 18.80")</f>
        <v>107.34 x 18.80</v>
      </c>
      <c r="F338" s="8" t="str">
        <f ca="1">IFERROR(__xludf.DUMMYFUNCTION("""COMPUTED_VALUE"""),"14")</f>
        <v>14</v>
      </c>
      <c r="G338" s="8">
        <f ca="1">IFERROR(__xludf.DUMMYFUNCTION("""COMPUTED_VALUE"""),6547)</f>
        <v>6547</v>
      </c>
      <c r="H338" s="8" t="str">
        <f ca="1">IFERROR(__xludf.DUMMYFUNCTION("""COMPUTED_VALUE"""),"Y stst/Y Marineline")</f>
        <v>Y stst/Y Marineline</v>
      </c>
      <c r="I338" s="8" t="str">
        <f ca="1">IFERROR(__xludf.DUMMYFUNCTION("""COMPUTED_VALUE"""),"12x600+1x60+1x50")</f>
        <v>12x600+1x60+1x50</v>
      </c>
      <c r="J338" s="8" t="str">
        <f ca="1">IFERROR(__xludf.DUMMYFUNCTION("""COMPUTED_VALUE"""),"MAK")</f>
        <v>MAK</v>
      </c>
      <c r="K338" s="8" t="str">
        <f ca="1">IFERROR(__xludf.DUMMYFUNCTION("""COMPUTED_VALUE"""),"-")</f>
        <v>-</v>
      </c>
      <c r="L338" s="8" t="str">
        <f ca="1">IFERROR(__xludf.DUMMYFUNCTION("""COMPUTED_VALUE"""),"Fitted")</f>
        <v>Fitted</v>
      </c>
      <c r="M338" s="8" t="str">
        <f ca="1">IFERROR(__xludf.DUMMYFUNCTION("""COMPUTED_VALUE"""),"BV 2/28D")</f>
        <v>BV 2/28D</v>
      </c>
      <c r="N338" s="8" t="str">
        <f ca="1">IFERROR(__xludf.DUMMYFUNCTION("""COMPUTED_VALUE"""),"Med")</f>
        <v>Med</v>
      </c>
      <c r="O338" s="8" t="str">
        <f ca="1">IFERROR(__xludf.DUMMYFUNCTION("""COMPUTED_VALUE"""),"B.offers")</f>
        <v>B.offers</v>
      </c>
    </row>
    <row r="339" spans="1:15" ht="15.75" customHeight="1" x14ac:dyDescent="0.25">
      <c r="A339" s="8" t="str">
        <f ca="1">IFERROR(__xludf.DUMMYFUNCTION("""COMPUTED_VALUE"""),"TA 6128/08")</f>
        <v>TA 6128/08</v>
      </c>
      <c r="B339" s="8" t="str">
        <f ca="1">IFERROR(__xludf.DUMMYFUNCTION("""COMPUTED_VALUE"""),"Chemical Tanker Ice 1D")</f>
        <v>Chemical Tanker Ice 1D</v>
      </c>
      <c r="C339" s="9">
        <f ca="1">IFERROR(__xludf.DUMMYFUNCTION("""COMPUTED_VALUE"""),6128)</f>
        <v>6128</v>
      </c>
      <c r="D339" s="8" t="str">
        <f ca="1">IFERROR(__xludf.DUMMYFUNCTION("""COMPUTED_VALUE"""),"2008-Turkey")</f>
        <v>2008-Turkey</v>
      </c>
      <c r="E339" s="8" t="str">
        <f ca="1">IFERROR(__xludf.DUMMYFUNCTION("""COMPUTED_VALUE"""),"107.34 x 18.80")</f>
        <v>107.34 x 18.80</v>
      </c>
      <c r="F339" s="8" t="str">
        <f ca="1">IFERROR(__xludf.DUMMYFUNCTION("""COMPUTED_VALUE"""),"14")</f>
        <v>14</v>
      </c>
      <c r="G339" s="8">
        <f ca="1">IFERROR(__xludf.DUMMYFUNCTION("""COMPUTED_VALUE"""),6547)</f>
        <v>6547</v>
      </c>
      <c r="H339" s="8" t="str">
        <f ca="1">IFERROR(__xludf.DUMMYFUNCTION("""COMPUTED_VALUE""")," stst/Y Marineline")</f>
        <v xml:space="preserve"> stst/Y Marineline</v>
      </c>
      <c r="I339" s="8" t="str">
        <f ca="1">IFERROR(__xludf.DUMMYFUNCTION("""COMPUTED_VALUE"""),"12x600+1x60+1x50")</f>
        <v>12x600+1x60+1x50</v>
      </c>
      <c r="J339" s="8" t="str">
        <f ca="1">IFERROR(__xludf.DUMMYFUNCTION("""COMPUTED_VALUE"""),"MAK")</f>
        <v>MAK</v>
      </c>
      <c r="K339" s="8" t="str">
        <f ca="1">IFERROR(__xludf.DUMMYFUNCTION("""COMPUTED_VALUE"""),"-")</f>
        <v>-</v>
      </c>
      <c r="L339" s="8" t="str">
        <f ca="1">IFERROR(__xludf.DUMMYFUNCTION("""COMPUTED_VALUE"""),"Fitted")</f>
        <v>Fitted</v>
      </c>
      <c r="M339" s="8" t="str">
        <f ca="1">IFERROR(__xludf.DUMMYFUNCTION("""COMPUTED_VALUE"""),"BV Ice 1D")</f>
        <v>BV Ice 1D</v>
      </c>
      <c r="N339" s="8" t="str">
        <f ca="1">IFERROR(__xludf.DUMMYFUNCTION("""COMPUTED_VALUE"""),"Med")</f>
        <v>Med</v>
      </c>
      <c r="O339" s="8" t="str">
        <f ca="1">IFERROR(__xludf.DUMMYFUNCTION("""COMPUTED_VALUE"""),"B.offers")</f>
        <v>B.offers</v>
      </c>
    </row>
    <row r="340" spans="1:15" ht="15.75" customHeight="1" x14ac:dyDescent="0.25">
      <c r="A340" s="8" t="str">
        <f ca="1">IFERROR(__xludf.DUMMYFUNCTION("""COMPUTED_VALUE"""),"TA 6100/25 Nb resale")</f>
        <v>TA 6100/25 Nb resale</v>
      </c>
      <c r="B340" s="8" t="str">
        <f ca="1">IFERROR(__xludf.DUMMYFUNCTION("""COMPUTED_VALUE"""),"Oil/Chemical Tanker IMO 2")</f>
        <v>Oil/Chemical Tanker IMO 2</v>
      </c>
      <c r="C340" s="9">
        <f ca="1">IFERROR(__xludf.DUMMYFUNCTION("""COMPUTED_VALUE"""),6100)</f>
        <v>6100</v>
      </c>
      <c r="D340" s="8" t="str">
        <f ca="1">IFERROR(__xludf.DUMMYFUNCTION("""COMPUTED_VALUE"""),"2025-Turkey")</f>
        <v>2025-Turkey</v>
      </c>
      <c r="E340" s="8" t="str">
        <f ca="1">IFERROR(__xludf.DUMMYFUNCTION("""COMPUTED_VALUE"""),"99.9 x 16.60")</f>
        <v>99.9 x 16.60</v>
      </c>
      <c r="F340" s="8" t="str">
        <f ca="1">IFERROR(__xludf.DUMMYFUNCTION("""COMPUTED_VALUE"""),"14")</f>
        <v>14</v>
      </c>
      <c r="G340" s="8">
        <f ca="1">IFERROR(__xludf.DUMMYFUNCTION("""COMPUTED_VALUE"""),6427)</f>
        <v>6427</v>
      </c>
      <c r="H340" s="8" t="str">
        <f ca="1">IFERROR(__xludf.DUMMYFUNCTION("""COMPUTED_VALUE"""),"Y st.st./Y St.St.")</f>
        <v>Y st.st./Y St.St.</v>
      </c>
      <c r="I340" s="8" t="str">
        <f ca="1">IFERROR(__xludf.DUMMYFUNCTION("""COMPUTED_VALUE"""),"12 x 150 + 2 x 80")</f>
        <v>12 x 150 + 2 x 80</v>
      </c>
      <c r="J340" s="8" t="str">
        <f ca="1">IFERROR(__xludf.DUMMYFUNCTION("""COMPUTED_VALUE"""),"Yanmar")</f>
        <v>Yanmar</v>
      </c>
      <c r="K340" s="8" t="str">
        <f ca="1">IFERROR(__xludf.DUMMYFUNCTION("""COMPUTED_VALUE"""),"11 k/6.8 t")</f>
        <v>11 k/6.8 t</v>
      </c>
      <c r="L340" s="8" t="str">
        <f ca="1">IFERROR(__xludf.DUMMYFUNCTION("""COMPUTED_VALUE"""),"Fitted")</f>
        <v>Fitted</v>
      </c>
      <c r="M340" s="8" t="str">
        <f ca="1">IFERROR(__xludf.DUMMYFUNCTION("""COMPUTED_VALUE"""),"BV 2030D")</f>
        <v>BV 2030D</v>
      </c>
      <c r="N340" s="8" t="str">
        <f ca="1">IFERROR(__xludf.DUMMYFUNCTION("""COMPUTED_VALUE"""),"Turkey at Yard")</f>
        <v>Turkey at Yard</v>
      </c>
      <c r="O340" s="8" t="str">
        <f ca="1">IFERROR(__xludf.DUMMYFUNCTION("""COMPUTED_VALUE"""),"B.offers")</f>
        <v>B.offers</v>
      </c>
    </row>
    <row r="341" spans="1:15" ht="15.75" customHeight="1" x14ac:dyDescent="0.25">
      <c r="A341" s="8" t="str">
        <f ca="1">IFERROR(__xludf.DUMMYFUNCTION("""COMPUTED_VALUE"""),"TA 5807/01")</f>
        <v>TA 5807/01</v>
      </c>
      <c r="B341" s="8" t="str">
        <f ca="1">IFERROR(__xludf.DUMMYFUNCTION("""COMPUTED_VALUE"""),"St.St. Chemical Tanker")</f>
        <v>St.St. Chemical Tanker</v>
      </c>
      <c r="C341" s="9">
        <f ca="1">IFERROR(__xludf.DUMMYFUNCTION("""COMPUTED_VALUE"""),5807)</f>
        <v>5807</v>
      </c>
      <c r="D341" s="8" t="str">
        <f ca="1">IFERROR(__xludf.DUMMYFUNCTION("""COMPUTED_VALUE"""),"2001-Japan")</f>
        <v>2001-Japan</v>
      </c>
      <c r="E341" s="8" t="str">
        <f ca="1">IFERROR(__xludf.DUMMYFUNCTION("""COMPUTED_VALUE"""),"99.93 x 16.50")</f>
        <v>99.93 x 16.50</v>
      </c>
      <c r="F341" s="8" t="str">
        <f ca="1">IFERROR(__xludf.DUMMYFUNCTION("""COMPUTED_VALUE"""),"10")</f>
        <v>10</v>
      </c>
      <c r="G341" s="8">
        <f ca="1">IFERROR(__xludf.DUMMYFUNCTION("""COMPUTED_VALUE"""),6117)</f>
        <v>6117</v>
      </c>
      <c r="H341" s="8" t="str">
        <f ca="1">IFERROR(__xludf.DUMMYFUNCTION("""COMPUTED_VALUE"""),"Y  St.St. / Y St.St")</f>
        <v>Y  St.St. / Y St.St</v>
      </c>
      <c r="I341" s="8" t="str">
        <f ca="1">IFERROR(__xludf.DUMMYFUNCTION("""COMPUTED_VALUE"""),"8 x 200")</f>
        <v>8 x 200</v>
      </c>
      <c r="J341" s="8" t="str">
        <f ca="1">IFERROR(__xludf.DUMMYFUNCTION("""COMPUTED_VALUE"""),"Mitsubishi")</f>
        <v>Mitsubishi</v>
      </c>
      <c r="K341" s="8" t="str">
        <f ca="1">IFERROR(__xludf.DUMMYFUNCTION("""COMPUTED_VALUE"""),"-")</f>
        <v>-</v>
      </c>
      <c r="L341" s="8" t="str">
        <f ca="1">IFERROR(__xludf.DUMMYFUNCTION("""COMPUTED_VALUE"""),"Fitted")</f>
        <v>Fitted</v>
      </c>
      <c r="M341" s="8" t="str">
        <f ca="1">IFERROR(__xludf.DUMMYFUNCTION("""COMPUTED_VALUE"""),"CCS 6/26 D")</f>
        <v>CCS 6/26 D</v>
      </c>
      <c r="N341" s="8" t="str">
        <f ca="1">IFERROR(__xludf.DUMMYFUNCTION("""COMPUTED_VALUE"""),"Fareast")</f>
        <v>Fareast</v>
      </c>
      <c r="O341" s="8" t="str">
        <f ca="1">IFERROR(__xludf.DUMMYFUNCTION("""COMPUTED_VALUE"""),"B.offers")</f>
        <v>B.offers</v>
      </c>
    </row>
    <row r="342" spans="1:15" ht="15.75" customHeight="1" x14ac:dyDescent="0.25">
      <c r="A342" s="8" t="str">
        <f ca="1">IFERROR(__xludf.DUMMYFUNCTION("""COMPUTED_VALUE"""),"TA 5792/20")</f>
        <v>TA 5792/20</v>
      </c>
      <c r="B342" s="8" t="str">
        <f ca="1">IFERROR(__xludf.DUMMYFUNCTION("""COMPUTED_VALUE"""),"StSt Chemical  IMO 2 Tanker")</f>
        <v>StSt Chemical  IMO 2 Tanker</v>
      </c>
      <c r="C342" s="9">
        <f ca="1">IFERROR(__xludf.DUMMYFUNCTION("""COMPUTED_VALUE"""),5792)</f>
        <v>5792</v>
      </c>
      <c r="D342" s="8" t="str">
        <f ca="1">IFERROR(__xludf.DUMMYFUNCTION("""COMPUTED_VALUE"""),"2020-China")</f>
        <v>2020-China</v>
      </c>
      <c r="E342" s="8" t="str">
        <f ca="1">IFERROR(__xludf.DUMMYFUNCTION("""COMPUTED_VALUE"""),"104.6 x 17.40")</f>
        <v>104.6 x 17.40</v>
      </c>
      <c r="F342" s="8" t="str">
        <f ca="1">IFERROR(__xludf.DUMMYFUNCTION("""COMPUTED_VALUE"""),"-")</f>
        <v>-</v>
      </c>
      <c r="G342" s="8" t="str">
        <f ca="1">IFERROR(__xludf.DUMMYFUNCTION("""COMPUTED_VALUE"""),"-")</f>
        <v>-</v>
      </c>
      <c r="H342" s="8" t="str">
        <f ca="1">IFERROR(__xludf.DUMMYFUNCTION("""COMPUTED_VALUE"""),"Y / Y stst")</f>
        <v>Y / Y stst</v>
      </c>
      <c r="I342" s="8" t="str">
        <f ca="1">IFERROR(__xludf.DUMMYFUNCTION("""COMPUTED_VALUE"""),"-")</f>
        <v>-</v>
      </c>
      <c r="J342" s="8" t="str">
        <f ca="1">IFERROR(__xludf.DUMMYFUNCTION("""COMPUTED_VALUE"""),"Guangzhou")</f>
        <v>Guangzhou</v>
      </c>
      <c r="K342" s="8" t="str">
        <f ca="1">IFERROR(__xludf.DUMMYFUNCTION("""COMPUTED_VALUE"""),"-")</f>
        <v>-</v>
      </c>
      <c r="L342" s="8" t="str">
        <f ca="1">IFERROR(__xludf.DUMMYFUNCTION("""COMPUTED_VALUE"""),"To be chkd")</f>
        <v>To be chkd</v>
      </c>
      <c r="M342" s="8" t="str">
        <f ca="1">IFERROR(__xludf.DUMMYFUNCTION("""COMPUTED_VALUE"""),"CCS 10/25D")</f>
        <v>CCS 10/25D</v>
      </c>
      <c r="N342" s="8" t="str">
        <f ca="1">IFERROR(__xludf.DUMMYFUNCTION("""COMPUTED_VALUE"""),"Fareast")</f>
        <v>Fareast</v>
      </c>
      <c r="O342" s="8" t="str">
        <f ca="1">IFERROR(__xludf.DUMMYFUNCTION("""COMPUTED_VALUE"""),"B.offers")</f>
        <v>B.offers</v>
      </c>
    </row>
    <row r="343" spans="1:15" ht="15.75" customHeight="1" x14ac:dyDescent="0.25">
      <c r="A343" s="8" t="str">
        <f ca="1">IFERROR(__xludf.DUMMYFUNCTION("""COMPUTED_VALUE"""),"TA 5646/08")</f>
        <v>TA 5646/08</v>
      </c>
      <c r="B343" s="8" t="str">
        <f ca="1">IFERROR(__xludf.DUMMYFUNCTION("""COMPUTED_VALUE"""),"Oil/Chem/Bunker Tanker")</f>
        <v>Oil/Chem/Bunker Tanker</v>
      </c>
      <c r="C343" s="9">
        <f ca="1">IFERROR(__xludf.DUMMYFUNCTION("""COMPUTED_VALUE"""),5646)</f>
        <v>5646</v>
      </c>
      <c r="D343" s="8" t="str">
        <f ca="1">IFERROR(__xludf.DUMMYFUNCTION("""COMPUTED_VALUE"""),"2008-Korea")</f>
        <v>2008-Korea</v>
      </c>
      <c r="E343" s="8" t="str">
        <f ca="1">IFERROR(__xludf.DUMMYFUNCTION("""COMPUTED_VALUE"""),"105.60 x 16.60")</f>
        <v>105.60 x 16.60</v>
      </c>
      <c r="F343" s="8" t="str">
        <f ca="1">IFERROR(__xludf.DUMMYFUNCTION("""COMPUTED_VALUE"""),"10")</f>
        <v>10</v>
      </c>
      <c r="G343" s="8">
        <f ca="1">IFERROR(__xludf.DUMMYFUNCTION("""COMPUTED_VALUE"""),6386)</f>
        <v>6386</v>
      </c>
      <c r="H343" s="8" t="str">
        <f ca="1">IFERROR(__xludf.DUMMYFUNCTION("""COMPUTED_VALUE"""),"Y st.st./Y Zinc")</f>
        <v>Y st.st./Y Zinc</v>
      </c>
      <c r="I343" s="8" t="str">
        <f ca="1">IFERROR(__xludf.DUMMYFUNCTION("""COMPUTED_VALUE"""),"10 x 300+2x100")</f>
        <v>10 x 300+2x100</v>
      </c>
      <c r="J343" s="8" t="str">
        <f ca="1">IFERROR(__xludf.DUMMYFUNCTION("""COMPUTED_VALUE"""),"Hanshin")</f>
        <v>Hanshin</v>
      </c>
      <c r="K343" s="8" t="str">
        <f ca="1">IFERROR(__xludf.DUMMYFUNCTION("""COMPUTED_VALUE"""),"-")</f>
        <v>-</v>
      </c>
      <c r="L343" s="8" t="str">
        <f ca="1">IFERROR(__xludf.DUMMYFUNCTION("""COMPUTED_VALUE"""),"Fitted")</f>
        <v>Fitted</v>
      </c>
      <c r="M343" s="8" t="str">
        <f ca="1">IFERROR(__xludf.DUMMYFUNCTION("""COMPUTED_VALUE"""),"KR Class")</f>
        <v>KR Class</v>
      </c>
      <c r="N343" s="8" t="str">
        <f ca="1">IFERROR(__xludf.DUMMYFUNCTION("""COMPUTED_VALUE"""),"Korea-China")</f>
        <v>Korea-China</v>
      </c>
      <c r="O343" s="8" t="str">
        <f ca="1">IFERROR(__xludf.DUMMYFUNCTION("""COMPUTED_VALUE"""),"B.offers")</f>
        <v>B.offers</v>
      </c>
    </row>
    <row r="344" spans="1:15" ht="15.75" customHeight="1" x14ac:dyDescent="0.25">
      <c r="A344" s="8" t="str">
        <f ca="1">IFERROR(__xludf.DUMMYFUNCTION("""COMPUTED_VALUE"""),"TA 5642/06")</f>
        <v>TA 5642/06</v>
      </c>
      <c r="B344" s="8" t="str">
        <f ca="1">IFERROR(__xludf.DUMMYFUNCTION("""COMPUTED_VALUE"""),"Products Tanker")</f>
        <v>Products Tanker</v>
      </c>
      <c r="C344" s="9">
        <f ca="1">IFERROR(__xludf.DUMMYFUNCTION("""COMPUTED_VALUE"""),5642)</f>
        <v>5642</v>
      </c>
      <c r="D344" s="8" t="str">
        <f ca="1">IFERROR(__xludf.DUMMYFUNCTION("""COMPUTED_VALUE"""),"2006-Japan")</f>
        <v>2006-Japan</v>
      </c>
      <c r="E344" s="8" t="str">
        <f ca="1">IFERROR(__xludf.DUMMYFUNCTION("""COMPUTED_VALUE"""),"104.11 x 16.00")</f>
        <v>104.11 x 16.00</v>
      </c>
      <c r="F344" s="8" t="str">
        <f ca="1">IFERROR(__xludf.DUMMYFUNCTION("""COMPUTED_VALUE"""),"-")</f>
        <v>-</v>
      </c>
      <c r="G344" s="8">
        <f ca="1">IFERROR(__xludf.DUMMYFUNCTION("""COMPUTED_VALUE"""),5564)</f>
        <v>5564</v>
      </c>
      <c r="H344" s="8" t="str">
        <f ca="1">IFERROR(__xludf.DUMMYFUNCTION("""COMPUTED_VALUE"""),"Y Thermal/N")</f>
        <v>Y Thermal/N</v>
      </c>
      <c r="I344" s="8" t="str">
        <f ca="1">IFERROR(__xludf.DUMMYFUNCTION("""COMPUTED_VALUE"""),"2 x 1800")</f>
        <v>2 x 1800</v>
      </c>
      <c r="J344" s="8" t="str">
        <f ca="1">IFERROR(__xludf.DUMMYFUNCTION("""COMPUTED_VALUE"""),"Hanshin")</f>
        <v>Hanshin</v>
      </c>
      <c r="K344" s="8" t="str">
        <f ca="1">IFERROR(__xludf.DUMMYFUNCTION("""COMPUTED_VALUE"""),"10.5 k")</f>
        <v>10.5 k</v>
      </c>
      <c r="L344" s="8" t="str">
        <f ca="1">IFERROR(__xludf.DUMMYFUNCTION("""COMPUTED_VALUE"""),"To be chkd")</f>
        <v>To be chkd</v>
      </c>
      <c r="M344" s="8" t="str">
        <f ca="1">IFERROR(__xludf.DUMMYFUNCTION("""COMPUTED_VALUE"""),"NK Coastal")</f>
        <v>NK Coastal</v>
      </c>
      <c r="N344" s="8" t="str">
        <f ca="1">IFERROR(__xludf.DUMMYFUNCTION("""COMPUTED_VALUE"""),"Fareast")</f>
        <v>Fareast</v>
      </c>
      <c r="O344" s="8" t="str">
        <f ca="1">IFERROR(__xludf.DUMMYFUNCTION("""COMPUTED_VALUE"""),"B.offers")</f>
        <v>B.offers</v>
      </c>
    </row>
    <row r="345" spans="1:15" ht="15.75" customHeight="1" x14ac:dyDescent="0.25">
      <c r="A345" s="8" t="str">
        <f ca="1">IFERROR(__xludf.DUMMYFUNCTION("""COMPUTED_VALUE"""),"TA 5596/22")</f>
        <v>TA 5596/22</v>
      </c>
      <c r="B345" s="8" t="str">
        <f ca="1">IFERROR(__xludf.DUMMYFUNCTION("""COMPUTED_VALUE"""),"Chemical/Oil Tanker")</f>
        <v>Chemical/Oil Tanker</v>
      </c>
      <c r="C345" s="9">
        <f ca="1">IFERROR(__xludf.DUMMYFUNCTION("""COMPUTED_VALUE"""),5596)</f>
        <v>5596</v>
      </c>
      <c r="D345" s="8" t="str">
        <f ca="1">IFERROR(__xludf.DUMMYFUNCTION("""COMPUTED_VALUE"""),"2022-China")</f>
        <v>2022-China</v>
      </c>
      <c r="E345" s="8" t="str">
        <f ca="1">IFERROR(__xludf.DUMMYFUNCTION("""COMPUTED_VALUE"""),"106.00 x 17.60")</f>
        <v>106.00 x 17.60</v>
      </c>
      <c r="F345" s="8" t="str">
        <f ca="1">IFERROR(__xludf.DUMMYFUNCTION("""COMPUTED_VALUE"""),"12")</f>
        <v>12</v>
      </c>
      <c r="G345" s="8">
        <f ca="1">IFERROR(__xludf.DUMMYFUNCTION("""COMPUTED_VALUE"""),7071)</f>
        <v>7071</v>
      </c>
      <c r="H345" s="8" t="str">
        <f ca="1">IFERROR(__xludf.DUMMYFUNCTION("""COMPUTED_VALUE"""),"Y/Y Epoxy")</f>
        <v>Y/Y Epoxy</v>
      </c>
      <c r="I345" s="8" t="str">
        <f ca="1">IFERROR(__xludf.DUMMYFUNCTION("""COMPUTED_VALUE"""),"2 x 1000")</f>
        <v>2 x 1000</v>
      </c>
      <c r="J345" s="8" t="str">
        <f ca="1">IFERROR(__xludf.DUMMYFUNCTION("""COMPUTED_VALUE"""),"Chinese Std")</f>
        <v>Chinese Std</v>
      </c>
      <c r="K345" s="8" t="str">
        <f ca="1">IFERROR(__xludf.DUMMYFUNCTION("""COMPUTED_VALUE"""),"11 k/10 t")</f>
        <v>11 k/10 t</v>
      </c>
      <c r="L345" s="8" t="str">
        <f ca="1">IFERROR(__xludf.DUMMYFUNCTION("""COMPUTED_VALUE"""),"Fitted")</f>
        <v>Fitted</v>
      </c>
      <c r="M345" s="8" t="str">
        <f ca="1">IFERROR(__xludf.DUMMYFUNCTION("""COMPUTED_VALUE"""),"BV 6/27D")</f>
        <v>BV 6/27D</v>
      </c>
      <c r="N345" s="8" t="str">
        <f ca="1">IFERROR(__xludf.DUMMYFUNCTION("""COMPUTED_VALUE"""),"China")</f>
        <v>China</v>
      </c>
      <c r="O345" s="8" t="str">
        <f ca="1">IFERROR(__xludf.DUMMYFUNCTION("""COMPUTED_VALUE"""),"B.offers")</f>
        <v>B.offers</v>
      </c>
    </row>
    <row r="346" spans="1:15" ht="15.75" customHeight="1" x14ac:dyDescent="0.25">
      <c r="A346" s="8" t="str">
        <f ca="1">IFERROR(__xludf.DUMMYFUNCTION("""COMPUTED_VALUE"""),"TA 5468/04")</f>
        <v>TA 5468/04</v>
      </c>
      <c r="B346" s="8" t="str">
        <f ca="1">IFERROR(__xludf.DUMMYFUNCTION("""COMPUTED_VALUE"""),"Oil/Products/Chemical IMO 2 Tanker")</f>
        <v>Oil/Products/Chemical IMO 2 Tanker</v>
      </c>
      <c r="C346" s="9">
        <f ca="1">IFERROR(__xludf.DUMMYFUNCTION("""COMPUTED_VALUE"""),5468)</f>
        <v>5468</v>
      </c>
      <c r="D346" s="8" t="str">
        <f ca="1">IFERROR(__xludf.DUMMYFUNCTION("""COMPUTED_VALUE"""),"2004-Turkey")</f>
        <v>2004-Turkey</v>
      </c>
      <c r="E346" s="8" t="str">
        <f ca="1">IFERROR(__xludf.DUMMYFUNCTION("""COMPUTED_VALUE"""),"107.45 x 16.00")</f>
        <v>107.45 x 16.00</v>
      </c>
      <c r="F346" s="8" t="str">
        <f ca="1">IFERROR(__xludf.DUMMYFUNCTION("""COMPUTED_VALUE"""),"18")</f>
        <v>18</v>
      </c>
      <c r="G346" s="8">
        <f ca="1">IFERROR(__xludf.DUMMYFUNCTION("""COMPUTED_VALUE"""),6478)</f>
        <v>6478</v>
      </c>
      <c r="H346" s="8" t="str">
        <f ca="1">IFERROR(__xludf.DUMMYFUNCTION("""COMPUTED_VALUE"""),"Y/Y Epoxy")</f>
        <v>Y/Y Epoxy</v>
      </c>
      <c r="I346" s="8" t="str">
        <f ca="1">IFERROR(__xludf.DUMMYFUNCTION("""COMPUTED_VALUE"""),"4 x 175 centr.")</f>
        <v>4 x 175 centr.</v>
      </c>
      <c r="J346" s="8" t="str">
        <f ca="1">IFERROR(__xludf.DUMMYFUNCTION("""COMPUTED_VALUE"""),"Diesel")</f>
        <v>Diesel</v>
      </c>
      <c r="K346" s="8" t="str">
        <f ca="1">IFERROR(__xludf.DUMMYFUNCTION("""COMPUTED_VALUE"""),"11.5 k")</f>
        <v>11.5 k</v>
      </c>
      <c r="L346" s="8" t="str">
        <f ca="1">IFERROR(__xludf.DUMMYFUNCTION("""COMPUTED_VALUE"""),"No")</f>
        <v>No</v>
      </c>
      <c r="M346" s="8" t="str">
        <f ca="1">IFERROR(__xludf.DUMMYFUNCTION("""COMPUTED_VALUE"""),"BV 9/24P")</f>
        <v>BV 9/24P</v>
      </c>
      <c r="N346" s="8" t="str">
        <f ca="1">IFERROR(__xludf.DUMMYFUNCTION("""COMPUTED_VALUE"""),"Ukraine/Turkey")</f>
        <v>Ukraine/Turkey</v>
      </c>
      <c r="O346" s="8" t="str">
        <f ca="1">IFERROR(__xludf.DUMMYFUNCTION("""COMPUTED_VALUE"""),"B.offers")</f>
        <v>B.offers</v>
      </c>
    </row>
    <row r="347" spans="1:15" ht="15.75" customHeight="1" x14ac:dyDescent="0.25">
      <c r="A347" s="8" t="str">
        <f ca="1">IFERROR(__xludf.DUMMYFUNCTION("""COMPUTED_VALUE"""),"TA 5368/11")</f>
        <v>TA 5368/11</v>
      </c>
      <c r="B347" s="8" t="str">
        <f ca="1">IFERROR(__xludf.DUMMYFUNCTION("""COMPUTED_VALUE"""),"Oil/Products Tanker")</f>
        <v>Oil/Products Tanker</v>
      </c>
      <c r="C347" s="9">
        <f ca="1">IFERROR(__xludf.DUMMYFUNCTION("""COMPUTED_VALUE"""),5368)</f>
        <v>5368</v>
      </c>
      <c r="D347" s="8" t="str">
        <f ca="1">IFERROR(__xludf.DUMMYFUNCTION("""COMPUTED_VALUE"""),"2011-China")</f>
        <v>2011-China</v>
      </c>
      <c r="E347" s="8" t="str">
        <f ca="1">IFERROR(__xludf.DUMMYFUNCTION("""COMPUTED_VALUE"""),"105.89 x 15.80")</f>
        <v>105.89 x 15.80</v>
      </c>
      <c r="F347" s="8" t="str">
        <f ca="1">IFERROR(__xludf.DUMMYFUNCTION("""COMPUTED_VALUE"""),"10")</f>
        <v>10</v>
      </c>
      <c r="G347" s="8">
        <f ca="1">IFERROR(__xludf.DUMMYFUNCTION("""COMPUTED_VALUE"""),5821)</f>
        <v>5821</v>
      </c>
      <c r="H347" s="8" t="str">
        <f ca="1">IFERROR(__xludf.DUMMYFUNCTION("""COMPUTED_VALUE"""),"Y/Y Epoxy")</f>
        <v>Y/Y Epoxy</v>
      </c>
      <c r="I347" s="8" t="str">
        <f ca="1">IFERROR(__xludf.DUMMYFUNCTION("""COMPUTED_VALUE"""),"2 x 500")</f>
        <v>2 x 500</v>
      </c>
      <c r="J347" s="8" t="str">
        <f ca="1">IFERROR(__xludf.DUMMYFUNCTION("""COMPUTED_VALUE"""),"Guangzhou")</f>
        <v>Guangzhou</v>
      </c>
      <c r="K347" s="8"/>
      <c r="L347" s="8" t="str">
        <f ca="1">IFERROR(__xludf.DUMMYFUNCTION("""COMPUTED_VALUE"""),"To be chkd")</f>
        <v>To be chkd</v>
      </c>
      <c r="M347" s="8" t="str">
        <f ca="1">IFERROR(__xludf.DUMMYFUNCTION("""COMPUTED_VALUE"""),"CCS Domest")</f>
        <v>CCS Domest</v>
      </c>
      <c r="N347" s="8" t="str">
        <f ca="1">IFERROR(__xludf.DUMMYFUNCTION("""COMPUTED_VALUE"""),"China")</f>
        <v>China</v>
      </c>
      <c r="O347" s="8" t="str">
        <f ca="1">IFERROR(__xludf.DUMMYFUNCTION("""COMPUTED_VALUE"""),"B.offers")</f>
        <v>B.offers</v>
      </c>
    </row>
    <row r="348" spans="1:15" ht="15.75" customHeight="1" x14ac:dyDescent="0.25">
      <c r="A348" s="8" t="str">
        <f ca="1">IFERROR(__xludf.DUMMYFUNCTION("""COMPUTED_VALUE"""),"TA 5215/95")</f>
        <v>TA 5215/95</v>
      </c>
      <c r="B348" s="8" t="str">
        <f ca="1">IFERROR(__xludf.DUMMYFUNCTION("""COMPUTED_VALUE"""),"Products Ice Class Tanker")</f>
        <v>Products Ice Class Tanker</v>
      </c>
      <c r="C348" s="9">
        <f ca="1">IFERROR(__xludf.DUMMYFUNCTION("""COMPUTED_VALUE"""),5215)</f>
        <v>5215</v>
      </c>
      <c r="D348" s="8" t="str">
        <f ca="1">IFERROR(__xludf.DUMMYFUNCTION("""COMPUTED_VALUE"""),"1995-Russia")</f>
        <v>1995-Russia</v>
      </c>
      <c r="E348" s="8" t="str">
        <f ca="1">IFERROR(__xludf.DUMMYFUNCTION("""COMPUTED_VALUE"""),"113.80 x 16.50")</f>
        <v>113.80 x 16.50</v>
      </c>
      <c r="F348" s="8" t="str">
        <f ca="1">IFERROR(__xludf.DUMMYFUNCTION("""COMPUTED_VALUE"""),"8")</f>
        <v>8</v>
      </c>
      <c r="G348" s="8">
        <f ca="1">IFERROR(__xludf.DUMMYFUNCTION("""COMPUTED_VALUE"""),5177)</f>
        <v>5177</v>
      </c>
      <c r="H348" s="8" t="str">
        <f ca="1">IFERROR(__xludf.DUMMYFUNCTION("""COMPUTED_VALUE"""),"Y/Y Epoxy")</f>
        <v>Y/Y Epoxy</v>
      </c>
      <c r="I348" s="8" t="str">
        <f ca="1">IFERROR(__xludf.DUMMYFUNCTION("""COMPUTED_VALUE"""),"4 x 170 ")</f>
        <v xml:space="preserve">4 x 170 </v>
      </c>
      <c r="J348" s="8" t="str">
        <f ca="1">IFERROR(__xludf.DUMMYFUNCTION("""COMPUTED_VALUE"""),"Wartsila")</f>
        <v>Wartsila</v>
      </c>
      <c r="K348" s="8" t="str">
        <f ca="1">IFERROR(__xludf.DUMMYFUNCTION("""COMPUTED_VALUE"""),"11 k")</f>
        <v>11 k</v>
      </c>
      <c r="L348" s="8" t="str">
        <f ca="1">IFERROR(__xludf.DUMMYFUNCTION("""COMPUTED_VALUE"""),"To be chkd")</f>
        <v>To be chkd</v>
      </c>
      <c r="M348" s="8" t="str">
        <f ca="1">IFERROR(__xludf.DUMMYFUNCTION("""COMPUTED_VALUE"""),"MR 5/25D")</f>
        <v>MR 5/25D</v>
      </c>
      <c r="N348" s="8" t="str">
        <f ca="1">IFERROR(__xludf.DUMMYFUNCTION("""COMPUTED_VALUE"""),"East Med")</f>
        <v>East Med</v>
      </c>
      <c r="O348" s="8" t="str">
        <f ca="1">IFERROR(__xludf.DUMMYFUNCTION("""COMPUTED_VALUE"""),"B.offers")</f>
        <v>B.offers</v>
      </c>
    </row>
    <row r="349" spans="1:15" ht="15.75" customHeight="1" x14ac:dyDescent="0.25">
      <c r="A349" s="8" t="str">
        <f ca="1">IFERROR(__xludf.DUMMYFUNCTION("""COMPUTED_VALUE"""),"TA 5123/05")</f>
        <v>TA 5123/05</v>
      </c>
      <c r="B349" s="8" t="str">
        <f ca="1">IFERROR(__xludf.DUMMYFUNCTION("""COMPUTED_VALUE"""),"Products/Chem.IMO 2 Tanker")</f>
        <v>Products/Chem.IMO 2 Tanker</v>
      </c>
      <c r="C349" s="9">
        <f ca="1">IFERROR(__xludf.DUMMYFUNCTION("""COMPUTED_VALUE"""),5123)</f>
        <v>5123</v>
      </c>
      <c r="D349" s="8" t="str">
        <f ca="1">IFERROR(__xludf.DUMMYFUNCTION("""COMPUTED_VALUE"""),"2005-Turkey")</f>
        <v>2005-Turkey</v>
      </c>
      <c r="E349" s="8" t="str">
        <f ca="1">IFERROR(__xludf.DUMMYFUNCTION("""COMPUTED_VALUE"""),"103.00 x 15.62")</f>
        <v>103.00 x 15.62</v>
      </c>
      <c r="F349" s="8" t="str">
        <f ca="1">IFERROR(__xludf.DUMMYFUNCTION("""COMPUTED_VALUE"""),"10")</f>
        <v>10</v>
      </c>
      <c r="G349" s="8">
        <f ca="1">IFERROR(__xludf.DUMMYFUNCTION("""COMPUTED_VALUE"""),5446)</f>
        <v>5446</v>
      </c>
      <c r="H349" s="8" t="str">
        <f ca="1">IFERROR(__xludf.DUMMYFUNCTION("""COMPUTED_VALUE"""),"Y/Y Epoxy")</f>
        <v>Y/Y Epoxy</v>
      </c>
      <c r="I349" s="8">
        <f ca="1">IFERROR(__xludf.DUMMYFUNCTION("""COMPUTED_VALUE"""),10)</f>
        <v>10</v>
      </c>
      <c r="J349" s="8" t="str">
        <f ca="1">IFERROR(__xludf.DUMMYFUNCTION("""COMPUTED_VALUE"""),"MAK")</f>
        <v>MAK</v>
      </c>
      <c r="K349" s="8" t="str">
        <f ca="1">IFERROR(__xludf.DUMMYFUNCTION("""COMPUTED_VALUE"""),"13 k")</f>
        <v>13 k</v>
      </c>
      <c r="L349" s="8" t="str">
        <f ca="1">IFERROR(__xludf.DUMMYFUNCTION("""COMPUTED_VALUE"""),"Fitted")</f>
        <v>Fitted</v>
      </c>
      <c r="M349" s="8" t="str">
        <f ca="1">IFERROR(__xludf.DUMMYFUNCTION("""COMPUTED_VALUE"""),"BV 3/25P")</f>
        <v>BV 3/25P</v>
      </c>
      <c r="N349" s="8" t="str">
        <f ca="1">IFERROR(__xludf.DUMMYFUNCTION("""COMPUTED_VALUE"""),"Med")</f>
        <v>Med</v>
      </c>
      <c r="O349" s="8" t="str">
        <f ca="1">IFERROR(__xludf.DUMMYFUNCTION("""COMPUTED_VALUE"""),"B.offers")</f>
        <v>B.offers</v>
      </c>
    </row>
    <row r="350" spans="1:15" ht="15.75" customHeight="1" x14ac:dyDescent="0.25">
      <c r="A350" s="8" t="str">
        <f ca="1">IFERROR(__xludf.DUMMYFUNCTION("""COMPUTED_VALUE"""),"TA 4999/08A")</f>
        <v>TA 4999/08A</v>
      </c>
      <c r="B350" s="8" t="str">
        <f ca="1">IFERROR(__xludf.DUMMYFUNCTION("""COMPUTED_VALUE"""),"Bitumen Tanker")</f>
        <v>Bitumen Tanker</v>
      </c>
      <c r="C350" s="9">
        <f ca="1">IFERROR(__xludf.DUMMYFUNCTION("""COMPUTED_VALUE"""),4999)</f>
        <v>4999</v>
      </c>
      <c r="D350" s="8" t="str">
        <f ca="1">IFERROR(__xludf.DUMMYFUNCTION("""COMPUTED_VALUE"""),"2008-China")</f>
        <v>2008-China</v>
      </c>
      <c r="E350" s="8" t="str">
        <f ca="1">IFERROR(__xludf.DUMMYFUNCTION("""COMPUTED_VALUE"""),"101.9 x 16.00")</f>
        <v>101.9 x 16.00</v>
      </c>
      <c r="F350" s="8" t="str">
        <f ca="1">IFERROR(__xludf.DUMMYFUNCTION("""COMPUTED_VALUE"""),"12")</f>
        <v>12</v>
      </c>
      <c r="G350" s="8" t="str">
        <f ca="1">IFERROR(__xludf.DUMMYFUNCTION("""COMPUTED_VALUE"""),"-")</f>
        <v>-</v>
      </c>
      <c r="H350" s="8" t="str">
        <f ca="1">IFERROR(__xludf.DUMMYFUNCTION("""COMPUTED_VALUE"""),"Y/N")</f>
        <v>Y/N</v>
      </c>
      <c r="I350" s="8" t="str">
        <f ca="1">IFERROR(__xludf.DUMMYFUNCTION("""COMPUTED_VALUE"""),"-")</f>
        <v>-</v>
      </c>
      <c r="J350" s="8" t="str">
        <f ca="1">IFERROR(__xludf.DUMMYFUNCTION("""COMPUTED_VALUE"""),"Guangzhou")</f>
        <v>Guangzhou</v>
      </c>
      <c r="K350" s="8" t="str">
        <f ca="1">IFERROR(__xludf.DUMMYFUNCTION("""COMPUTED_VALUE"""),"11.5 k")</f>
        <v>11.5 k</v>
      </c>
      <c r="L350" s="8" t="str">
        <f ca="1">IFERROR(__xludf.DUMMYFUNCTION("""COMPUTED_VALUE"""),"Fitted")</f>
        <v>Fitted</v>
      </c>
      <c r="M350" s="8" t="str">
        <f ca="1">IFERROR(__xludf.DUMMYFUNCTION("""COMPUTED_VALUE"""),"CCS 8/28D")</f>
        <v>CCS 8/28D</v>
      </c>
      <c r="N350" s="8" t="str">
        <f ca="1">IFERROR(__xludf.DUMMYFUNCTION("""COMPUTED_VALUE"""),"PG")</f>
        <v>PG</v>
      </c>
      <c r="O350" s="8" t="str">
        <f ca="1">IFERROR(__xludf.DUMMYFUNCTION("""COMPUTED_VALUE"""),"B.offers")</f>
        <v>B.offers</v>
      </c>
    </row>
    <row r="351" spans="1:15" ht="15.75" customHeight="1" x14ac:dyDescent="0.25">
      <c r="A351" s="8" t="str">
        <f ca="1">IFERROR(__xludf.DUMMYFUNCTION("""COMPUTED_VALUE"""),"TA 4999/08B")</f>
        <v>TA 4999/08B</v>
      </c>
      <c r="B351" s="8" t="str">
        <f ca="1">IFERROR(__xludf.DUMMYFUNCTION("""COMPUTED_VALUE"""),"Bitumen Tanker")</f>
        <v>Bitumen Tanker</v>
      </c>
      <c r="C351" s="9">
        <f ca="1">IFERROR(__xludf.DUMMYFUNCTION("""COMPUTED_VALUE"""),4999)</f>
        <v>4999</v>
      </c>
      <c r="D351" s="8" t="str">
        <f ca="1">IFERROR(__xludf.DUMMYFUNCTION("""COMPUTED_VALUE"""),"2008-China")</f>
        <v>2008-China</v>
      </c>
      <c r="E351" s="8" t="str">
        <f ca="1">IFERROR(__xludf.DUMMYFUNCTION("""COMPUTED_VALUE"""),"101.9 x 16.00")</f>
        <v>101.9 x 16.00</v>
      </c>
      <c r="F351" s="8" t="str">
        <f ca="1">IFERROR(__xludf.DUMMYFUNCTION("""COMPUTED_VALUE"""),"10")</f>
        <v>10</v>
      </c>
      <c r="G351" s="8" t="str">
        <f ca="1">IFERROR(__xludf.DUMMYFUNCTION("""COMPUTED_VALUE"""),"-")</f>
        <v>-</v>
      </c>
      <c r="H351" s="8" t="str">
        <f ca="1">IFERROR(__xludf.DUMMYFUNCTION("""COMPUTED_VALUE"""),"Y/N")</f>
        <v>Y/N</v>
      </c>
      <c r="I351" s="8">
        <f ca="1">IFERROR(__xludf.DUMMYFUNCTION("""COMPUTED_VALUE"""),2)</f>
        <v>2</v>
      </c>
      <c r="J351" s="8" t="str">
        <f ca="1">IFERROR(__xludf.DUMMYFUNCTION("""COMPUTED_VALUE"""),"Guangzhou")</f>
        <v>Guangzhou</v>
      </c>
      <c r="K351" s="8" t="str">
        <f ca="1">IFERROR(__xludf.DUMMYFUNCTION("""COMPUTED_VALUE"""),"-")</f>
        <v>-</v>
      </c>
      <c r="L351" s="8" t="str">
        <f ca="1">IFERROR(__xludf.DUMMYFUNCTION("""COMPUTED_VALUE"""),"Fitted")</f>
        <v>Fitted</v>
      </c>
      <c r="M351" s="8" t="str">
        <f ca="1">IFERROR(__xludf.DUMMYFUNCTION("""COMPUTED_VALUE"""),"CCS 4/28D")</f>
        <v>CCS 4/28D</v>
      </c>
      <c r="N351" s="8" t="str">
        <f ca="1">IFERROR(__xludf.DUMMYFUNCTION("""COMPUTED_VALUE"""),"Med/B.Sea")</f>
        <v>Med/B.Sea</v>
      </c>
      <c r="O351" s="8" t="str">
        <f ca="1">IFERROR(__xludf.DUMMYFUNCTION("""COMPUTED_VALUE"""),"5.5 m")</f>
        <v>5.5 m</v>
      </c>
    </row>
    <row r="352" spans="1:15" ht="15.75" customHeight="1" x14ac:dyDescent="0.25">
      <c r="A352" s="8" t="str">
        <f ca="1">IFERROR(__xludf.DUMMYFUNCTION("""COMPUTED_VALUE"""),"TA 4999/06")</f>
        <v>TA 4999/06</v>
      </c>
      <c r="B352" s="8" t="str">
        <f ca="1">IFERROR(__xludf.DUMMYFUNCTION("""COMPUTED_VALUE"""),"Oil Products/Bunkering Tker")</f>
        <v>Oil Products/Bunkering Tker</v>
      </c>
      <c r="C352" s="9">
        <f ca="1">IFERROR(__xludf.DUMMYFUNCTION("""COMPUTED_VALUE"""),4999)</f>
        <v>4999</v>
      </c>
      <c r="D352" s="8" t="str">
        <f ca="1">IFERROR(__xludf.DUMMYFUNCTION("""COMPUTED_VALUE"""),"2006-China")</f>
        <v>2006-China</v>
      </c>
      <c r="E352" s="8" t="str">
        <f ca="1">IFERROR(__xludf.DUMMYFUNCTION("""COMPUTED_VALUE"""),"101.5 x 15.38")</f>
        <v>101.5 x 15.38</v>
      </c>
      <c r="F352" s="8" t="str">
        <f ca="1">IFERROR(__xludf.DUMMYFUNCTION("""COMPUTED_VALUE"""),"12")</f>
        <v>12</v>
      </c>
      <c r="G352" s="8">
        <f ca="1">IFERROR(__xludf.DUMMYFUNCTION("""COMPUTED_VALUE"""),5603)</f>
        <v>5603</v>
      </c>
      <c r="H352" s="8" t="str">
        <f ca="1">IFERROR(__xludf.DUMMYFUNCTION("""COMPUTED_VALUE"""),"N/Y Epoxy")</f>
        <v>N/Y Epoxy</v>
      </c>
      <c r="I352" s="8" t="str">
        <f ca="1">IFERROR(__xludf.DUMMYFUNCTION("""COMPUTED_VALUE"""),"2 x 720 Screw")</f>
        <v>2 x 720 Screw</v>
      </c>
      <c r="J352" s="8" t="str">
        <f ca="1">IFERROR(__xludf.DUMMYFUNCTION("""COMPUTED_VALUE"""),"Guangzhou")</f>
        <v>Guangzhou</v>
      </c>
      <c r="K352" s="8" t="str">
        <f ca="1">IFERROR(__xludf.DUMMYFUNCTION("""COMPUTED_VALUE"""),"-")</f>
        <v>-</v>
      </c>
      <c r="L352" s="8" t="str">
        <f ca="1">IFERROR(__xludf.DUMMYFUNCTION("""COMPUTED_VALUE"""),"Fitted")</f>
        <v>Fitted</v>
      </c>
      <c r="M352" s="8" t="str">
        <f ca="1">IFERROR(__xludf.DUMMYFUNCTION("""COMPUTED_VALUE"""),"CCS 11/26D")</f>
        <v>CCS 11/26D</v>
      </c>
      <c r="N352" s="8" t="str">
        <f ca="1">IFERROR(__xludf.DUMMYFUNCTION("""COMPUTED_VALUE"""),"Singapore")</f>
        <v>Singapore</v>
      </c>
      <c r="O352" s="8" t="str">
        <f ca="1">IFERROR(__xludf.DUMMYFUNCTION("""COMPUTED_VALUE"""),"5.2 m")</f>
        <v>5.2 m</v>
      </c>
    </row>
    <row r="353" spans="1:15" ht="15.75" customHeight="1" x14ac:dyDescent="0.25">
      <c r="A353" s="8" t="str">
        <f ca="1">IFERROR(__xludf.DUMMYFUNCTION("""COMPUTED_VALUE"""),"TA 4994/13")</f>
        <v>TA 4994/13</v>
      </c>
      <c r="B353" s="8" t="str">
        <f ca="1">IFERROR(__xludf.DUMMYFUNCTION("""COMPUTED_VALUE"""),"Twinscrew Chem. IMO II")</f>
        <v>Twinscrew Chem. IMO II</v>
      </c>
      <c r="C353" s="9">
        <f ca="1">IFERROR(__xludf.DUMMYFUNCTION("""COMPUTED_VALUE"""),4994)</f>
        <v>4994</v>
      </c>
      <c r="D353" s="8" t="str">
        <f ca="1">IFERROR(__xludf.DUMMYFUNCTION("""COMPUTED_VALUE"""),"2013-Turkey")</f>
        <v>2013-Turkey</v>
      </c>
      <c r="E353" s="8" t="str">
        <f ca="1">IFERROR(__xludf.DUMMYFUNCTION("""COMPUTED_VALUE"""),"99.84 x 15.60")</f>
        <v>99.84 x 15.60</v>
      </c>
      <c r="F353" s="8" t="str">
        <f ca="1">IFERROR(__xludf.DUMMYFUNCTION("""COMPUTED_VALUE"""),"10")</f>
        <v>10</v>
      </c>
      <c r="G353" s="8">
        <f ca="1">IFERROR(__xludf.DUMMYFUNCTION("""COMPUTED_VALUE"""),5452)</f>
        <v>5452</v>
      </c>
      <c r="H353" s="8" t="str">
        <f ca="1">IFERROR(__xludf.DUMMYFUNCTION("""COMPUTED_VALUE"""),"Dk Heater/Epox")</f>
        <v>Dk Heater/Epox</v>
      </c>
      <c r="I353" s="8" t="str">
        <f ca="1">IFERROR(__xludf.DUMMYFUNCTION("""COMPUTED_VALUE"""),"10x200+2x100")</f>
        <v>10x200+2x100</v>
      </c>
      <c r="J353" s="8" t="str">
        <f ca="1">IFERROR(__xludf.DUMMYFUNCTION("""COMPUTED_VALUE"""),"2 Wartsila")</f>
        <v>2 Wartsila</v>
      </c>
      <c r="K353" s="8" t="str">
        <f ca="1">IFERROR(__xludf.DUMMYFUNCTION("""COMPUTED_VALUE"""),"11k/7.5t")</f>
        <v>11k/7.5t</v>
      </c>
      <c r="L353" s="8" t="str">
        <f ca="1">IFERROR(__xludf.DUMMYFUNCTION("""COMPUTED_VALUE"""),"Yes")</f>
        <v>Yes</v>
      </c>
      <c r="M353" s="8" t="str">
        <f ca="1">IFERROR(__xludf.DUMMYFUNCTION("""COMPUTED_VALUE"""),"ABS 4.28D")</f>
        <v>ABS 4.28D</v>
      </c>
      <c r="N353" s="8" t="str">
        <f ca="1">IFERROR(__xludf.DUMMYFUNCTION("""COMPUTED_VALUE"""),"UK/Cont")</f>
        <v>UK/Cont</v>
      </c>
      <c r="O353" s="8" t="str">
        <f ca="1">IFERROR(__xludf.DUMMYFUNCTION("""COMPUTED_VALUE"""),"B.offers")</f>
        <v>B.offers</v>
      </c>
    </row>
    <row r="354" spans="1:15" ht="15.75" customHeight="1" x14ac:dyDescent="0.25">
      <c r="A354" s="8" t="str">
        <f ca="1">IFERROR(__xludf.DUMMYFUNCTION("""COMPUTED_VALUE"""),"TA 4980/09")</f>
        <v>TA 4980/09</v>
      </c>
      <c r="B354" s="8" t="str">
        <f ca="1">IFERROR(__xludf.DUMMYFUNCTION("""COMPUTED_VALUE"""),"Small CPP Products Tanker")</f>
        <v>Small CPP Products Tanker</v>
      </c>
      <c r="C354" s="9">
        <f ca="1">IFERROR(__xludf.DUMMYFUNCTION("""COMPUTED_VALUE"""),4980)</f>
        <v>4980</v>
      </c>
      <c r="D354" s="8" t="str">
        <f ca="1">IFERROR(__xludf.DUMMYFUNCTION("""COMPUTED_VALUE"""),"2009-China")</f>
        <v>2009-China</v>
      </c>
      <c r="E354" s="8" t="str">
        <f ca="1">IFERROR(__xludf.DUMMYFUNCTION("""COMPUTED_VALUE"""),"98.80 x 15.00")</f>
        <v>98.80 x 15.00</v>
      </c>
      <c r="F354" s="8" t="str">
        <f ca="1">IFERROR(__xludf.DUMMYFUNCTION("""COMPUTED_VALUE"""),"10")</f>
        <v>10</v>
      </c>
      <c r="G354" s="8">
        <f ca="1">IFERROR(__xludf.DUMMYFUNCTION("""COMPUTED_VALUE"""),5227)</f>
        <v>5227</v>
      </c>
      <c r="H354" s="8" t="str">
        <f ca="1">IFERROR(__xludf.DUMMYFUNCTION("""COMPUTED_VALUE"""),"N/N")</f>
        <v>N/N</v>
      </c>
      <c r="I354" s="8" t="str">
        <f ca="1">IFERROR(__xludf.DUMMYFUNCTION("""COMPUTED_VALUE"""),"-")</f>
        <v>-</v>
      </c>
      <c r="J354" s="8" t="str">
        <f ca="1">IFERROR(__xludf.DUMMYFUNCTION("""COMPUTED_VALUE"""),"Guangzhou")</f>
        <v>Guangzhou</v>
      </c>
      <c r="K354" s="8" t="str">
        <f ca="1">IFERROR(__xludf.DUMMYFUNCTION("""COMPUTED_VALUE"""),"11 k")</f>
        <v>11 k</v>
      </c>
      <c r="L354" s="8" t="str">
        <f ca="1">IFERROR(__xludf.DUMMYFUNCTION("""COMPUTED_VALUE"""),"To be chkd")</f>
        <v>To be chkd</v>
      </c>
      <c r="M354" s="8" t="str">
        <f ca="1">IFERROR(__xludf.DUMMYFUNCTION("""COMPUTED_VALUE"""),"IRS Class")</f>
        <v>IRS Class</v>
      </c>
      <c r="N354" s="8" t="str">
        <f ca="1">IFERROR(__xludf.DUMMYFUNCTION("""COMPUTED_VALUE"""),"Sharjah")</f>
        <v>Sharjah</v>
      </c>
      <c r="O354" s="8" t="str">
        <f ca="1">IFERROR(__xludf.DUMMYFUNCTION("""COMPUTED_VALUE"""),"B.offers")</f>
        <v>B.offers</v>
      </c>
    </row>
    <row r="355" spans="1:15" ht="15.75" customHeight="1" x14ac:dyDescent="0.25">
      <c r="A355" s="8" t="str">
        <f ca="1">IFERROR(__xludf.DUMMYFUNCTION("""COMPUTED_VALUE"""),"TA 4968/16")</f>
        <v>TA 4968/16</v>
      </c>
      <c r="B355" s="8" t="str">
        <f ca="1">IFERROR(__xludf.DUMMYFUNCTION("""COMPUTED_VALUE"""),"Asphalt/Bitumen Tanker")</f>
        <v>Asphalt/Bitumen Tanker</v>
      </c>
      <c r="C355" s="9">
        <f ca="1">IFERROR(__xludf.DUMMYFUNCTION("""COMPUTED_VALUE"""),4968)</f>
        <v>4968</v>
      </c>
      <c r="D355" s="8" t="str">
        <f ca="1">IFERROR(__xludf.DUMMYFUNCTION("""COMPUTED_VALUE"""),"2016-China")</f>
        <v>2016-China</v>
      </c>
      <c r="E355" s="8" t="str">
        <f ca="1">IFERROR(__xludf.DUMMYFUNCTION("""COMPUTED_VALUE"""),"108.00 x 17.20")</f>
        <v>108.00 x 17.20</v>
      </c>
      <c r="F355" s="8" t="str">
        <f ca="1">IFERROR(__xludf.DUMMYFUNCTION("""COMPUTED_VALUE"""),"8")</f>
        <v>8</v>
      </c>
      <c r="G355" s="8">
        <f ca="1">IFERROR(__xludf.DUMMYFUNCTION("""COMPUTED_VALUE"""),6141)</f>
        <v>6141</v>
      </c>
      <c r="H355" s="8" t="str">
        <f ca="1">IFERROR(__xludf.DUMMYFUNCTION("""COMPUTED_VALUE"""),"Y/N")</f>
        <v>Y/N</v>
      </c>
      <c r="I355" s="8" t="str">
        <f ca="1">IFERROR(__xludf.DUMMYFUNCTION("""COMPUTED_VALUE"""),"2 X 450")</f>
        <v>2 X 450</v>
      </c>
      <c r="J355" s="8" t="str">
        <f ca="1">IFERROR(__xludf.DUMMYFUNCTION("""COMPUTED_VALUE"""),"Wartsila")</f>
        <v>Wartsila</v>
      </c>
      <c r="K355" s="8" t="str">
        <f ca="1">IFERROR(__xludf.DUMMYFUNCTION("""COMPUTED_VALUE"""),"13 k")</f>
        <v>13 k</v>
      </c>
      <c r="L355" s="8" t="str">
        <f ca="1">IFERROR(__xludf.DUMMYFUNCTION("""COMPUTED_VALUE"""),"To be chkd")</f>
        <v>To be chkd</v>
      </c>
      <c r="M355" s="8" t="str">
        <f ca="1">IFERROR(__xludf.DUMMYFUNCTION("""COMPUTED_VALUE"""),"BV 4/26D ")</f>
        <v xml:space="preserve">BV 4/26D </v>
      </c>
      <c r="N355" s="8" t="str">
        <f ca="1">IFERROR(__xludf.DUMMYFUNCTION("""COMPUTED_VALUE"""),"Sale or TC WAF/Med")</f>
        <v>Sale or TC WAF/Med</v>
      </c>
      <c r="O355" s="8" t="str">
        <f ca="1">IFERROR(__xludf.DUMMYFUNCTION("""COMPUTED_VALUE"""),"B.offers")</f>
        <v>B.offers</v>
      </c>
    </row>
    <row r="356" spans="1:15" ht="15.75" customHeight="1" x14ac:dyDescent="0.25">
      <c r="A356" s="8" t="str">
        <f ca="1">IFERROR(__xludf.DUMMYFUNCTION("""COMPUTED_VALUE"""),"TA 4959/18")</f>
        <v>TA 4959/18</v>
      </c>
      <c r="B356" s="8" t="str">
        <f ca="1">IFERROR(__xludf.DUMMYFUNCTION("""COMPUTED_VALUE"""),"St.St. Duplex Chemical  IMO 2 Tker")</f>
        <v>St.St. Duplex Chemical  IMO 2 Tker</v>
      </c>
      <c r="C356" s="9">
        <f ca="1">IFERROR(__xludf.DUMMYFUNCTION("""COMPUTED_VALUE"""),4959)</f>
        <v>4959</v>
      </c>
      <c r="D356" s="8" t="str">
        <f ca="1">IFERROR(__xludf.DUMMYFUNCTION("""COMPUTED_VALUE"""),"2018-China")</f>
        <v>2018-China</v>
      </c>
      <c r="E356" s="8" t="str">
        <f ca="1">IFERROR(__xludf.DUMMYFUNCTION("""COMPUTED_VALUE"""),"102.50 x 15.20")</f>
        <v>102.50 x 15.20</v>
      </c>
      <c r="F356" s="8" t="str">
        <f ca="1">IFERROR(__xludf.DUMMYFUNCTION("""COMPUTED_VALUE"""),"16")</f>
        <v>16</v>
      </c>
      <c r="G356" s="8">
        <f ca="1">IFERROR(__xludf.DUMMYFUNCTION("""COMPUTED_VALUE"""),5256)</f>
        <v>5256</v>
      </c>
      <c r="H356" s="8" t="str">
        <f ca="1">IFERROR(__xludf.DUMMYFUNCTION("""COMPUTED_VALUE"""),"Y st.st./Y St.St.")</f>
        <v>Y st.st./Y St.St.</v>
      </c>
      <c r="I356" s="8" t="str">
        <f ca="1">IFERROR(__xludf.DUMMYFUNCTION("""COMPUTED_VALUE"""),"14 x 150")</f>
        <v>14 x 150</v>
      </c>
      <c r="J356" s="8" t="str">
        <f ca="1">IFERROR(__xludf.DUMMYFUNCTION("""COMPUTED_VALUE"""),"MAN")</f>
        <v>MAN</v>
      </c>
      <c r="K356" s="8" t="str">
        <f ca="1">IFERROR(__xludf.DUMMYFUNCTION("""COMPUTED_VALUE"""),"-")</f>
        <v>-</v>
      </c>
      <c r="L356" s="8" t="str">
        <f ca="1">IFERROR(__xludf.DUMMYFUNCTION("""COMPUTED_VALUE"""),"To be chkd")</f>
        <v>To be chkd</v>
      </c>
      <c r="M356" s="8" t="str">
        <f ca="1">IFERROR(__xludf.DUMMYFUNCTION("""COMPUTED_VALUE"""),"BV 2/28D")</f>
        <v>BV 2/28D</v>
      </c>
      <c r="N356" s="8" t="str">
        <f ca="1">IFERROR(__xludf.DUMMYFUNCTION("""COMPUTED_VALUE"""),"Fareast")</f>
        <v>Fareast</v>
      </c>
      <c r="O356" s="8" t="str">
        <f ca="1">IFERROR(__xludf.DUMMYFUNCTION("""COMPUTED_VALUE"""),"B.offers")</f>
        <v>B.offers</v>
      </c>
    </row>
    <row r="357" spans="1:15" ht="15.75" customHeight="1" x14ac:dyDescent="0.25">
      <c r="A357" s="8" t="str">
        <f ca="1">IFERROR(__xludf.DUMMYFUNCTION("""COMPUTED_VALUE"""),"TA 4923/08")</f>
        <v>TA 4923/08</v>
      </c>
      <c r="B357" s="8" t="str">
        <f ca="1">IFERROR(__xludf.DUMMYFUNCTION("""COMPUTED_VALUE"""),"Bitumen Tanker")</f>
        <v>Bitumen Tanker</v>
      </c>
      <c r="C357" s="9">
        <f ca="1">IFERROR(__xludf.DUMMYFUNCTION("""COMPUTED_VALUE"""),4923)</f>
        <v>4923</v>
      </c>
      <c r="D357" s="8" t="str">
        <f ca="1">IFERROR(__xludf.DUMMYFUNCTION("""COMPUTED_VALUE"""),"2008-China")</f>
        <v>2008-China</v>
      </c>
      <c r="E357" s="8" t="str">
        <f ca="1">IFERROR(__xludf.DUMMYFUNCTION("""COMPUTED_VALUE"""),"101.9 x 16.00")</f>
        <v>101.9 x 16.00</v>
      </c>
      <c r="F357" s="8" t="str">
        <f ca="1">IFERROR(__xludf.DUMMYFUNCTION("""COMPUTED_VALUE"""),"12")</f>
        <v>12</v>
      </c>
      <c r="G357" s="8" t="str">
        <f ca="1">IFERROR(__xludf.DUMMYFUNCTION("""COMPUTED_VALUE"""),"-")</f>
        <v>-</v>
      </c>
      <c r="H357" s="8" t="str">
        <f ca="1">IFERROR(__xludf.DUMMYFUNCTION("""COMPUTED_VALUE"""),"Y/Y")</f>
        <v>Y/Y</v>
      </c>
      <c r="I357" s="8" t="str">
        <f ca="1">IFERROR(__xludf.DUMMYFUNCTION("""COMPUTED_VALUE"""),"2 X 317")</f>
        <v>2 X 317</v>
      </c>
      <c r="J357" s="8" t="str">
        <f ca="1">IFERROR(__xludf.DUMMYFUNCTION("""COMPUTED_VALUE"""),"Yanmar")</f>
        <v>Yanmar</v>
      </c>
      <c r="K357" s="8" t="str">
        <f ca="1">IFERROR(__xludf.DUMMYFUNCTION("""COMPUTED_VALUE"""),"12.5 k")</f>
        <v>12.5 k</v>
      </c>
      <c r="L357" s="8" t="str">
        <f ca="1">IFERROR(__xludf.DUMMYFUNCTION("""COMPUTED_VALUE"""),"Fitted")</f>
        <v>Fitted</v>
      </c>
      <c r="M357" s="8" t="str">
        <f ca="1">IFERROR(__xludf.DUMMYFUNCTION("""COMPUTED_VALUE"""),"CC 9/28D")</f>
        <v>CC 9/28D</v>
      </c>
      <c r="N357" s="8" t="str">
        <f ca="1">IFERROR(__xludf.DUMMYFUNCTION("""COMPUTED_VALUE"""),"India/PG")</f>
        <v>India/PG</v>
      </c>
      <c r="O357" s="8" t="str">
        <f ca="1">IFERROR(__xludf.DUMMYFUNCTION("""COMPUTED_VALUE"""),"B.offers")</f>
        <v>B.offers</v>
      </c>
    </row>
    <row r="358" spans="1:15" ht="15.75" customHeight="1" x14ac:dyDescent="0.25">
      <c r="A358" s="8" t="str">
        <f ca="1">IFERROR(__xludf.DUMMYFUNCTION("""COMPUTED_VALUE"""),"TA 4859/22")</f>
        <v>TA 4859/22</v>
      </c>
      <c r="B358" s="8" t="str">
        <f ca="1">IFERROR(__xludf.DUMMYFUNCTION("""COMPUTED_VALUE"""),"Oil/DPP Bunkering Tanker")</f>
        <v>Oil/DPP Bunkering Tanker</v>
      </c>
      <c r="C358" s="9">
        <f ca="1">IFERROR(__xludf.DUMMYFUNCTION("""COMPUTED_VALUE"""),4859)</f>
        <v>4859</v>
      </c>
      <c r="D358" s="8" t="str">
        <f ca="1">IFERROR(__xludf.DUMMYFUNCTION("""COMPUTED_VALUE"""),"2022-China")</f>
        <v>2022-China</v>
      </c>
      <c r="E358" s="8" t="str">
        <f ca="1">IFERROR(__xludf.DUMMYFUNCTION("""COMPUTED_VALUE"""),"94.8 x 15.80")</f>
        <v>94.8 x 15.80</v>
      </c>
      <c r="F358" s="8" t="str">
        <f ca="1">IFERROR(__xludf.DUMMYFUNCTION("""COMPUTED_VALUE"""),"12")</f>
        <v>12</v>
      </c>
      <c r="G358" s="8">
        <f ca="1">IFERROR(__xludf.DUMMYFUNCTION("""COMPUTED_VALUE"""),5323)</f>
        <v>5323</v>
      </c>
      <c r="H358" s="8" t="str">
        <f ca="1">IFERROR(__xludf.DUMMYFUNCTION("""COMPUTED_VALUE"""),"N/N")</f>
        <v>N/N</v>
      </c>
      <c r="I358" s="8" t="str">
        <f ca="1">IFERROR(__xludf.DUMMYFUNCTION("""COMPUTED_VALUE"""),"2 x 650")</f>
        <v>2 x 650</v>
      </c>
      <c r="J358" s="8" t="str">
        <f ca="1">IFERROR(__xludf.DUMMYFUNCTION("""COMPUTED_VALUE"""),"gUANGZHOU")</f>
        <v>gUANGZHOU</v>
      </c>
      <c r="K358" s="8" t="str">
        <f ca="1">IFERROR(__xludf.DUMMYFUNCTION("""COMPUTED_VALUE"""),"11 K")</f>
        <v>11 K</v>
      </c>
      <c r="L358" s="8" t="str">
        <f ca="1">IFERROR(__xludf.DUMMYFUNCTION("""COMPUTED_VALUE"""),"To be chkd")</f>
        <v>To be chkd</v>
      </c>
      <c r="M358" s="8" t="str">
        <f ca="1">IFERROR(__xludf.DUMMYFUNCTION("""COMPUTED_VALUE"""),"CCS 10/27D")</f>
        <v>CCS 10/27D</v>
      </c>
      <c r="N358" s="8" t="str">
        <f ca="1">IFERROR(__xludf.DUMMYFUNCTION("""COMPUTED_VALUE"""),"China")</f>
        <v>China</v>
      </c>
      <c r="O358" s="8" t="str">
        <f ca="1">IFERROR(__xludf.DUMMYFUNCTION("""COMPUTED_VALUE"""),"B.offers")</f>
        <v>B.offers</v>
      </c>
    </row>
    <row r="359" spans="1:15" ht="15.75" customHeight="1" x14ac:dyDescent="0.25">
      <c r="A359" s="8" t="str">
        <f ca="1">IFERROR(__xludf.DUMMYFUNCTION("""COMPUTED_VALUE"""),"TA 4811/95")</f>
        <v>TA 4811/95</v>
      </c>
      <c r="B359" s="8" t="str">
        <f ca="1">IFERROR(__xludf.DUMMYFUNCTION("""COMPUTED_VALUE"""),"Products/Oil Tanker")</f>
        <v>Products/Oil Tanker</v>
      </c>
      <c r="C359" s="9">
        <f ca="1">IFERROR(__xludf.DUMMYFUNCTION("""COMPUTED_VALUE"""),4811)</f>
        <v>4811</v>
      </c>
      <c r="D359" s="8" t="str">
        <f ca="1">IFERROR(__xludf.DUMMYFUNCTION("""COMPUTED_VALUE"""),"1995-Korea")</f>
        <v>1995-Korea</v>
      </c>
      <c r="E359" s="8" t="str">
        <f ca="1">IFERROR(__xludf.DUMMYFUNCTION("""COMPUTED_VALUE"""),"99.03 x 15.40 ")</f>
        <v xml:space="preserve">99.03 x 15.40 </v>
      </c>
      <c r="F359" s="8" t="str">
        <f ca="1">IFERROR(__xludf.DUMMYFUNCTION("""COMPUTED_VALUE"""),"10")</f>
        <v>10</v>
      </c>
      <c r="G359" s="8">
        <f ca="1">IFERROR(__xludf.DUMMYFUNCTION("""COMPUTED_VALUE"""),4920)</f>
        <v>4920</v>
      </c>
      <c r="H359" s="8" t="str">
        <f ca="1">IFERROR(__xludf.DUMMYFUNCTION("""COMPUTED_VALUE"""),"Y/N")</f>
        <v>Y/N</v>
      </c>
      <c r="I359" s="8" t="str">
        <f ca="1">IFERROR(__xludf.DUMMYFUNCTION("""COMPUTED_VALUE"""),"2 x 500")</f>
        <v>2 x 500</v>
      </c>
      <c r="J359" s="8" t="str">
        <f ca="1">IFERROR(__xludf.DUMMYFUNCTION("""COMPUTED_VALUE"""),"B&amp;W")</f>
        <v>B&amp;W</v>
      </c>
      <c r="K359" s="8" t="str">
        <f ca="1">IFERROR(__xludf.DUMMYFUNCTION("""COMPUTED_VALUE"""),"11k")</f>
        <v>11k</v>
      </c>
      <c r="L359" s="8" t="str">
        <f ca="1">IFERROR(__xludf.DUMMYFUNCTION("""COMPUTED_VALUE"""),"Not fitted")</f>
        <v>Not fitted</v>
      </c>
      <c r="M359" s="8" t="str">
        <f ca="1">IFERROR(__xludf.DUMMYFUNCTION("""COMPUTED_VALUE"""),"KR 10/25D")</f>
        <v>KR 10/25D</v>
      </c>
      <c r="N359" s="8" t="str">
        <f ca="1">IFERROR(__xludf.DUMMYFUNCTION("""COMPUTED_VALUE"""),"Fareast")</f>
        <v>Fareast</v>
      </c>
      <c r="O359" s="8" t="str">
        <f ca="1">IFERROR(__xludf.DUMMYFUNCTION("""COMPUTED_VALUE"""),"B.offers")</f>
        <v>B.offers</v>
      </c>
    </row>
    <row r="360" spans="1:15" ht="15.75" customHeight="1" x14ac:dyDescent="0.25">
      <c r="A360" s="8" t="str">
        <f ca="1">IFERROR(__xludf.DUMMYFUNCTION("""COMPUTED_VALUE"""),"TA 4758/07")</f>
        <v>TA 4758/07</v>
      </c>
      <c r="B360" s="8" t="str">
        <f ca="1">IFERROR(__xludf.DUMMYFUNCTION("""COMPUTED_VALUE"""),"Products/Oil Tanker")</f>
        <v>Products/Oil Tanker</v>
      </c>
      <c r="C360" s="9">
        <f ca="1">IFERROR(__xludf.DUMMYFUNCTION("""COMPUTED_VALUE"""),4758)</f>
        <v>4758</v>
      </c>
      <c r="D360" s="8" t="str">
        <f ca="1">IFERROR(__xludf.DUMMYFUNCTION("""COMPUTED_VALUE"""),"2007-Turkey")</f>
        <v>2007-Turkey</v>
      </c>
      <c r="E360" s="8" t="str">
        <f ca="1">IFERROR(__xludf.DUMMYFUNCTION("""COMPUTED_VALUE"""),"92.65 x 14.00")</f>
        <v>92.65 x 14.00</v>
      </c>
      <c r="F360" s="8" t="str">
        <f ca="1">IFERROR(__xludf.DUMMYFUNCTION("""COMPUTED_VALUE"""),"10")</f>
        <v>10</v>
      </c>
      <c r="G360" s="8">
        <f ca="1">IFERROR(__xludf.DUMMYFUNCTION("""COMPUTED_VALUE"""),4969)</f>
        <v>4969</v>
      </c>
      <c r="H360" s="8" t="str">
        <f ca="1">IFERROR(__xludf.DUMMYFUNCTION("""COMPUTED_VALUE"""),"N/Y")</f>
        <v>N/Y</v>
      </c>
      <c r="I360" s="8" t="str">
        <f ca="1">IFERROR(__xludf.DUMMYFUNCTION("""COMPUTED_VALUE"""),"2 x 500")</f>
        <v>2 x 500</v>
      </c>
      <c r="J360" s="8" t="str">
        <f ca="1">IFERROR(__xludf.DUMMYFUNCTION("""COMPUTED_VALUE"""),"MAK")</f>
        <v>MAK</v>
      </c>
      <c r="K360" s="8" t="str">
        <f ca="1">IFERROR(__xludf.DUMMYFUNCTION("""COMPUTED_VALUE"""),"-")</f>
        <v>-</v>
      </c>
      <c r="L360" s="8" t="str">
        <f ca="1">IFERROR(__xludf.DUMMYFUNCTION("""COMPUTED_VALUE"""),"To be chkd")</f>
        <v>To be chkd</v>
      </c>
      <c r="M360" s="8" t="str">
        <f ca="1">IFERROR(__xludf.DUMMYFUNCTION("""COMPUTED_VALUE"""),"KST 1/28D")</f>
        <v>KST 1/28D</v>
      </c>
      <c r="N360" s="8" t="str">
        <f ca="1">IFERROR(__xludf.DUMMYFUNCTION("""COMPUTED_VALUE"""),"Korea")</f>
        <v>Korea</v>
      </c>
      <c r="O360" s="8" t="str">
        <f ca="1">IFERROR(__xludf.DUMMYFUNCTION("""COMPUTED_VALUE"""),"4.55 m")</f>
        <v>4.55 m</v>
      </c>
    </row>
    <row r="361" spans="1:15" ht="15.75" customHeight="1" x14ac:dyDescent="0.25">
      <c r="A361" s="8" t="str">
        <f ca="1">IFERROR(__xludf.DUMMYFUNCTION("""COMPUTED_VALUE"""),"TA 4726/07")</f>
        <v>TA 4726/07</v>
      </c>
      <c r="B361" s="8" t="str">
        <f ca="1">IFERROR(__xludf.DUMMYFUNCTION("""COMPUTED_VALUE"""),"Chem/Prods CPP Ice 1C Tanker")</f>
        <v>Chem/Prods CPP Ice 1C Tanker</v>
      </c>
      <c r="C361" s="9">
        <f ca="1">IFERROR(__xludf.DUMMYFUNCTION("""COMPUTED_VALUE"""),4726)</f>
        <v>4726</v>
      </c>
      <c r="D361" s="8" t="str">
        <f ca="1">IFERROR(__xludf.DUMMYFUNCTION("""COMPUTED_VALUE"""),"2007-Turkey")</f>
        <v>2007-Turkey</v>
      </c>
      <c r="E361" s="8" t="str">
        <f ca="1">IFERROR(__xludf.DUMMYFUNCTION("""COMPUTED_VALUE"""),"99.90 x 15.00")</f>
        <v>99.90 x 15.00</v>
      </c>
      <c r="F361" s="8" t="str">
        <f ca="1">IFERROR(__xludf.DUMMYFUNCTION("""COMPUTED_VALUE"""),"14")</f>
        <v>14</v>
      </c>
      <c r="G361" s="8">
        <f ca="1">IFERROR(__xludf.DUMMYFUNCTION("""COMPUTED_VALUE"""),5067)</f>
        <v>5067</v>
      </c>
      <c r="H361" s="8" t="str">
        <f ca="1">IFERROR(__xludf.DUMMYFUNCTION("""COMPUTED_VALUE"""),"Y/Y Marineline")</f>
        <v>Y/Y Marineline</v>
      </c>
      <c r="I361" s="8" t="str">
        <f ca="1">IFERROR(__xludf.DUMMYFUNCTION("""COMPUTED_VALUE"""),"6 x 175+6 x 100")</f>
        <v>6 x 175+6 x 100</v>
      </c>
      <c r="J361" s="8" t="str">
        <f ca="1">IFERROR(__xludf.DUMMYFUNCTION("""COMPUTED_VALUE"""),"MAK")</f>
        <v>MAK</v>
      </c>
      <c r="K361" s="8" t="str">
        <f ca="1">IFERROR(__xludf.DUMMYFUNCTION("""COMPUTED_VALUE"""),"12 k")</f>
        <v>12 k</v>
      </c>
      <c r="L361" s="8" t="str">
        <f ca="1">IFERROR(__xludf.DUMMYFUNCTION("""COMPUTED_VALUE"""),"Fitted")</f>
        <v>Fitted</v>
      </c>
      <c r="M361" s="8" t="str">
        <f ca="1">IFERROR(__xludf.DUMMYFUNCTION("""COMPUTED_VALUE"""),"BV 1/27D")</f>
        <v>BV 1/27D</v>
      </c>
      <c r="N361" s="8" t="str">
        <f ca="1">IFERROR(__xludf.DUMMYFUNCTION("""COMPUTED_VALUE"""),"Tuzla Turkey in DD")</f>
        <v>Tuzla Turkey in DD</v>
      </c>
      <c r="O361" s="8" t="str">
        <f ca="1">IFERROR(__xludf.DUMMYFUNCTION("""COMPUTED_VALUE"""),"B.offers")</f>
        <v>B.offers</v>
      </c>
    </row>
    <row r="362" spans="1:15" ht="15.75" customHeight="1" x14ac:dyDescent="0.25">
      <c r="A362" s="8" t="str">
        <f ca="1">IFERROR(__xludf.DUMMYFUNCTION("""COMPUTED_VALUE"""),"TA 4719/08")</f>
        <v>TA 4719/08</v>
      </c>
      <c r="B362" s="8" t="str">
        <f ca="1">IFERROR(__xludf.DUMMYFUNCTION("""COMPUTED_VALUE"""),"Products Tanker")</f>
        <v>Products Tanker</v>
      </c>
      <c r="C362" s="9">
        <f ca="1">IFERROR(__xludf.DUMMYFUNCTION("""COMPUTED_VALUE"""),4719)</f>
        <v>4719</v>
      </c>
      <c r="D362" s="8" t="str">
        <f ca="1">IFERROR(__xludf.DUMMYFUNCTION("""COMPUTED_VALUE"""),"2008-China")</f>
        <v>2008-China</v>
      </c>
      <c r="E362" s="8" t="str">
        <f ca="1">IFERROR(__xludf.DUMMYFUNCTION("""COMPUTED_VALUE"""),"98.80 x 15.00")</f>
        <v>98.80 x 15.00</v>
      </c>
      <c r="F362" s="8" t="str">
        <f ca="1">IFERROR(__xludf.DUMMYFUNCTION("""COMPUTED_VALUE"""),"10")</f>
        <v>10</v>
      </c>
      <c r="G362" s="8">
        <f ca="1">IFERROR(__xludf.DUMMYFUNCTION("""COMPUTED_VALUE"""),5227)</f>
        <v>5227</v>
      </c>
      <c r="H362" s="8" t="str">
        <f ca="1">IFERROR(__xludf.DUMMYFUNCTION("""COMPUTED_VALUE"""),"N/Y Epoxy")</f>
        <v>N/Y Epoxy</v>
      </c>
      <c r="I362" s="8" t="str">
        <f ca="1">IFERROR(__xludf.DUMMYFUNCTION("""COMPUTED_VALUE"""),"-")</f>
        <v>-</v>
      </c>
      <c r="J362" s="8" t="str">
        <f ca="1">IFERROR(__xludf.DUMMYFUNCTION("""COMPUTED_VALUE"""),"Guangzhou")</f>
        <v>Guangzhou</v>
      </c>
      <c r="K362" s="8" t="str">
        <f ca="1">IFERROR(__xludf.DUMMYFUNCTION("""COMPUTED_VALUE"""),"11 k")</f>
        <v>11 k</v>
      </c>
      <c r="L362" s="8" t="str">
        <f ca="1">IFERROR(__xludf.DUMMYFUNCTION("""COMPUTED_VALUE"""),"To be chkd")</f>
        <v>To be chkd</v>
      </c>
      <c r="M362" s="8" t="str">
        <f ca="1">IFERROR(__xludf.DUMMYFUNCTION("""COMPUTED_VALUE"""),"IRS Class")</f>
        <v>IRS Class</v>
      </c>
      <c r="N362" s="8" t="str">
        <f ca="1">IFERROR(__xludf.DUMMYFUNCTION("""COMPUTED_VALUE"""),"Sharjah")</f>
        <v>Sharjah</v>
      </c>
      <c r="O362" s="8" t="str">
        <f ca="1">IFERROR(__xludf.DUMMYFUNCTION("""COMPUTED_VALUE"""),"B.offers")</f>
        <v>B.offers</v>
      </c>
    </row>
    <row r="363" spans="1:15" ht="15.75" customHeight="1" x14ac:dyDescent="0.25">
      <c r="A363" s="8" t="str">
        <f ca="1">IFERROR(__xludf.DUMMYFUNCTION("""COMPUTED_VALUE"""),"TA 4559/13")</f>
        <v>TA 4559/13</v>
      </c>
      <c r="B363" s="8" t="str">
        <f ca="1">IFERROR(__xludf.DUMMYFUNCTION("""COMPUTED_VALUE"""),"Oil/Products Ice II Tanker")</f>
        <v>Oil/Products Ice II Tanker</v>
      </c>
      <c r="C363" s="9">
        <f ca="1">IFERROR(__xludf.DUMMYFUNCTION("""COMPUTED_VALUE"""),4559)</f>
        <v>4559</v>
      </c>
      <c r="D363" s="8" t="str">
        <f ca="1">IFERROR(__xludf.DUMMYFUNCTION("""COMPUTED_VALUE"""),"2013-China")</f>
        <v>2013-China</v>
      </c>
      <c r="E363" s="8" t="str">
        <f ca="1">IFERROR(__xludf.DUMMYFUNCTION("""COMPUTED_VALUE"""),"99.80 x 16.20")</f>
        <v>99.80 x 16.20</v>
      </c>
      <c r="F363" s="8"/>
      <c r="G363" s="8">
        <f ca="1">IFERROR(__xludf.DUMMYFUNCTION("""COMPUTED_VALUE"""),4100)</f>
        <v>4100</v>
      </c>
      <c r="H363" s="8" t="str">
        <f ca="1">IFERROR(__xludf.DUMMYFUNCTION("""COMPUTED_VALUE"""),"N/Y Epoxy")</f>
        <v>N/Y Epoxy</v>
      </c>
      <c r="I363" s="8" t="str">
        <f ca="1">IFERROR(__xludf.DUMMYFUNCTION("""COMPUTED_VALUE"""),"-")</f>
        <v>-</v>
      </c>
      <c r="J363" s="8" t="str">
        <f ca="1">IFERROR(__xludf.DUMMYFUNCTION("""COMPUTED_VALUE"""),"Chinese")</f>
        <v>Chinese</v>
      </c>
      <c r="K363" s="8" t="str">
        <f ca="1">IFERROR(__xludf.DUMMYFUNCTION("""COMPUTED_VALUE"""),"-")</f>
        <v>-</v>
      </c>
      <c r="L363" s="8" t="str">
        <f ca="1">IFERROR(__xludf.DUMMYFUNCTION("""COMPUTED_VALUE"""),"To be chkd")</f>
        <v>To be chkd</v>
      </c>
      <c r="M363" s="8" t="str">
        <f ca="1">IFERROR(__xludf.DUMMYFUNCTION("""COMPUTED_VALUE"""),"IBS 12/26D")</f>
        <v>IBS 12/26D</v>
      </c>
      <c r="N363" s="8" t="str">
        <f ca="1">IFERROR(__xludf.DUMMYFUNCTION("""COMPUTED_VALUE"""),"Fareast")</f>
        <v>Fareast</v>
      </c>
      <c r="O363" s="8" t="str">
        <f ca="1">IFERROR(__xludf.DUMMYFUNCTION("""COMPUTED_VALUE"""),"B.offers")</f>
        <v>B.offers</v>
      </c>
    </row>
    <row r="364" spans="1:15" ht="15.75" customHeight="1" x14ac:dyDescent="0.25">
      <c r="A364" s="8" t="str">
        <f ca="1">IFERROR(__xludf.DUMMYFUNCTION("""COMPUTED_VALUE"""),"TA 4581/07")</f>
        <v>TA 4581/07</v>
      </c>
      <c r="B364" s="8" t="str">
        <f ca="1">IFERROR(__xludf.DUMMYFUNCTION("""COMPUTED_VALUE"""),"Twinscrew Products Tanker")</f>
        <v>Twinscrew Products Tanker</v>
      </c>
      <c r="C364" s="9">
        <f ca="1">IFERROR(__xludf.DUMMYFUNCTION("""COMPUTED_VALUE"""),4581)</f>
        <v>4581</v>
      </c>
      <c r="D364" s="8" t="str">
        <f ca="1">IFERROR(__xludf.DUMMYFUNCTION("""COMPUTED_VALUE"""),"2007-Turkey")</f>
        <v>2007-Turkey</v>
      </c>
      <c r="E364" s="8" t="str">
        <f ca="1">IFERROR(__xludf.DUMMYFUNCTION("""COMPUTED_VALUE"""),"99.48 x 15.60")</f>
        <v>99.48 x 15.60</v>
      </c>
      <c r="F364" s="8" t="str">
        <f ca="1">IFERROR(__xludf.DUMMYFUNCTION("""COMPUTED_VALUE"""),"10")</f>
        <v>10</v>
      </c>
      <c r="G364" s="8">
        <f ca="1">IFERROR(__xludf.DUMMYFUNCTION("""COMPUTED_VALUE"""),5274)</f>
        <v>5274</v>
      </c>
      <c r="H364" s="8" t="str">
        <f ca="1">IFERROR(__xludf.DUMMYFUNCTION("""COMPUTED_VALUE"""),"N/Y Phenolic Ep")</f>
        <v>N/Y Phenolic Ep</v>
      </c>
      <c r="I364" s="8" t="str">
        <f ca="1">IFERROR(__xludf.DUMMYFUNCTION("""COMPUTED_VALUE"""),"10 x 300")</f>
        <v>10 x 300</v>
      </c>
      <c r="J364" s="8" t="str">
        <f ca="1">IFERROR(__xludf.DUMMYFUNCTION("""COMPUTED_VALUE"""),"2 x MAK")</f>
        <v>2 x MAK</v>
      </c>
      <c r="K364" s="8" t="str">
        <f ca="1">IFERROR(__xludf.DUMMYFUNCTION("""COMPUTED_VALUE"""),"-")</f>
        <v>-</v>
      </c>
      <c r="L364" s="8" t="str">
        <f ca="1">IFERROR(__xludf.DUMMYFUNCTION("""COMPUTED_VALUE"""),"To be chkd")</f>
        <v>To be chkd</v>
      </c>
      <c r="M364" s="8" t="str">
        <f ca="1">IFERROR(__xludf.DUMMYFUNCTION("""COMPUTED_VALUE"""),"BV 10/26D")</f>
        <v>BV 10/26D</v>
      </c>
      <c r="N364" s="8" t="str">
        <f ca="1">IFERROR(__xludf.DUMMYFUNCTION("""COMPUTED_VALUE"""),"Carib")</f>
        <v>Carib</v>
      </c>
      <c r="O364" s="8" t="str">
        <f ca="1">IFERROR(__xludf.DUMMYFUNCTION("""COMPUTED_VALUE"""),"5.25 m")</f>
        <v>5.25 m</v>
      </c>
    </row>
    <row r="365" spans="1:15" ht="15.75" customHeight="1" x14ac:dyDescent="0.25">
      <c r="A365" s="8" t="str">
        <f ca="1">IFERROR(__xludf.DUMMYFUNCTION("""COMPUTED_VALUE"""),"TA 4498/13B")</f>
        <v>TA 4498/13B</v>
      </c>
      <c r="B365" s="8" t="str">
        <f ca="1">IFERROR(__xludf.DUMMYFUNCTION("""COMPUTED_VALUE"""),"Chemical/Bunkering Tanker")</f>
        <v>Chemical/Bunkering Tanker</v>
      </c>
      <c r="C365" s="9">
        <f ca="1">IFERROR(__xludf.DUMMYFUNCTION("""COMPUTED_VALUE"""),4498)</f>
        <v>4498</v>
      </c>
      <c r="D365" s="8" t="str">
        <f ca="1">IFERROR(__xludf.DUMMYFUNCTION("""COMPUTED_VALUE"""),"2013-China")</f>
        <v>2013-China</v>
      </c>
      <c r="E365" s="8" t="str">
        <f ca="1">IFERROR(__xludf.DUMMYFUNCTION("""COMPUTED_VALUE"""),"95.80 x 16.00")</f>
        <v>95.80 x 16.00</v>
      </c>
      <c r="F365" s="8" t="str">
        <f ca="1">IFERROR(__xludf.DUMMYFUNCTION("""COMPUTED_VALUE"""),"10")</f>
        <v>10</v>
      </c>
      <c r="G365" s="8" t="str">
        <f ca="1">IFERROR(__xludf.DUMMYFUNCTION("""COMPUTED_VALUE"""),"#VALUE!")</f>
        <v>#VALUE!</v>
      </c>
      <c r="H365" s="8" t="str">
        <f ca="1">IFERROR(__xludf.DUMMYFUNCTION("""COMPUTED_VALUE"""),"Coiled")</f>
        <v>Coiled</v>
      </c>
      <c r="I365" s="8" t="str">
        <f ca="1">IFERROR(__xludf.DUMMYFUNCTION("""COMPUTED_VALUE"""),"2 X 650")</f>
        <v>2 X 650</v>
      </c>
      <c r="J365" s="8" t="str">
        <f ca="1">IFERROR(__xludf.DUMMYFUNCTION("""COMPUTED_VALUE"""),"Ningbo")</f>
        <v>Ningbo</v>
      </c>
      <c r="K365" s="8" t="str">
        <f ca="1">IFERROR(__xludf.DUMMYFUNCTION("""COMPUTED_VALUE"""),"-")</f>
        <v>-</v>
      </c>
      <c r="L365" s="8" t="str">
        <f ca="1">IFERROR(__xludf.DUMMYFUNCTION("""COMPUTED_VALUE"""),"To be chkd")</f>
        <v>To be chkd</v>
      </c>
      <c r="M365" s="8" t="str">
        <f ca="1">IFERROR(__xludf.DUMMYFUNCTION("""COMPUTED_VALUE"""),"CCS 3/28D")</f>
        <v>CCS 3/28D</v>
      </c>
      <c r="N365" s="8" t="str">
        <f ca="1">IFERROR(__xludf.DUMMYFUNCTION("""COMPUTED_VALUE"""),"China")</f>
        <v>China</v>
      </c>
      <c r="O365" s="8" t="str">
        <f ca="1">IFERROR(__xludf.DUMMYFUNCTION("""COMPUTED_VALUE"""),"B.offers")</f>
        <v>B.offers</v>
      </c>
    </row>
    <row r="366" spans="1:15" ht="15.75" customHeight="1" x14ac:dyDescent="0.25">
      <c r="A366" s="8" t="str">
        <f ca="1">IFERROR(__xludf.DUMMYFUNCTION("""COMPUTED_VALUE"""),"TA 4483/05")</f>
        <v>TA 4483/05</v>
      </c>
      <c r="B366" s="8" t="str">
        <f ca="1">IFERROR(__xludf.DUMMYFUNCTION("""COMPUTED_VALUE"""),"Oil Products Tanker")</f>
        <v>Oil Products Tanker</v>
      </c>
      <c r="C366" s="9">
        <f ca="1">IFERROR(__xludf.DUMMYFUNCTION("""COMPUTED_VALUE"""),4483)</f>
        <v>4483</v>
      </c>
      <c r="D366" s="8" t="str">
        <f ca="1">IFERROR(__xludf.DUMMYFUNCTION("""COMPUTED_VALUE"""),"2005-China")</f>
        <v>2005-China</v>
      </c>
      <c r="E366" s="8" t="str">
        <f ca="1">IFERROR(__xludf.DUMMYFUNCTION("""COMPUTED_VALUE"""),"99.87 x 14.20")</f>
        <v>99.87 x 14.20</v>
      </c>
      <c r="F366" s="8" t="str">
        <f ca="1">IFERROR(__xludf.DUMMYFUNCTION("""COMPUTED_VALUE"""),"-")</f>
        <v>-</v>
      </c>
      <c r="G366" s="8">
        <f ca="1">IFERROR(__xludf.DUMMYFUNCTION("""COMPUTED_VALUE"""),5500)</f>
        <v>5500</v>
      </c>
      <c r="H366" s="8" t="str">
        <f ca="1">IFERROR(__xludf.DUMMYFUNCTION("""COMPUTED_VALUE"""),"?/?")</f>
        <v>?/?</v>
      </c>
      <c r="I366" s="8" t="str">
        <f ca="1">IFERROR(__xludf.DUMMYFUNCTION("""COMPUTED_VALUE"""),"-")</f>
        <v>-</v>
      </c>
      <c r="J366" s="8" t="str">
        <f ca="1">IFERROR(__xludf.DUMMYFUNCTION("""COMPUTED_VALUE"""),"Chinese Std")</f>
        <v>Chinese Std</v>
      </c>
      <c r="K366" s="8" t="str">
        <f ca="1">IFERROR(__xludf.DUMMYFUNCTION("""COMPUTED_VALUE"""),"10 kn")</f>
        <v>10 kn</v>
      </c>
      <c r="L366" s="8" t="str">
        <f ca="1">IFERROR(__xludf.DUMMYFUNCTION("""COMPUTED_VALUE"""),"To be chkd")</f>
        <v>To be chkd</v>
      </c>
      <c r="M366" s="8" t="str">
        <f ca="1">IFERROR(__xludf.DUMMYFUNCTION("""COMPUTED_VALUE"""),"Macosnar")</f>
        <v>Macosnar</v>
      </c>
      <c r="N366" s="8" t="str">
        <f ca="1">IFERROR(__xludf.DUMMYFUNCTION("""COMPUTED_VALUE"""),"UAE/PG")</f>
        <v>UAE/PG</v>
      </c>
      <c r="O366" s="8" t="str">
        <f ca="1">IFERROR(__xludf.DUMMYFUNCTION("""COMPUTED_VALUE"""),"B.offers")</f>
        <v>B.offers</v>
      </c>
    </row>
    <row r="367" spans="1:15" ht="15.75" customHeight="1" x14ac:dyDescent="0.25">
      <c r="A367" s="8" t="str">
        <f ca="1">IFERROR(__xludf.DUMMYFUNCTION("""COMPUTED_VALUE"""),"TA 4482/99")</f>
        <v>TA 4482/99</v>
      </c>
      <c r="B367" s="8" t="str">
        <f ca="1">IFERROR(__xludf.DUMMYFUNCTION("""COMPUTED_VALUE"""),"StSt/Chem/Ice 1C Tanker")</f>
        <v>StSt/Chem/Ice 1C Tanker</v>
      </c>
      <c r="C367" s="9">
        <f ca="1">IFERROR(__xludf.DUMMYFUNCTION("""COMPUTED_VALUE"""),4482)</f>
        <v>4482</v>
      </c>
      <c r="D367" s="8" t="str">
        <f ca="1">IFERROR(__xludf.DUMMYFUNCTION("""COMPUTED_VALUE"""),"1999-Dk")</f>
        <v>1999-Dk</v>
      </c>
      <c r="E367" s="8" t="str">
        <f ca="1">IFERROR(__xludf.DUMMYFUNCTION("""COMPUTED_VALUE"""),"92.60 x 15.30")</f>
        <v>92.60 x 15.30</v>
      </c>
      <c r="F367" s="8" t="str">
        <f ca="1">IFERROR(__xludf.DUMMYFUNCTION("""COMPUTED_VALUE"""),"16")</f>
        <v>16</v>
      </c>
      <c r="G367" s="8">
        <f ca="1">IFERROR(__xludf.DUMMYFUNCTION("""COMPUTED_VALUE"""),4558)</f>
        <v>4558</v>
      </c>
      <c r="H367" s="8" t="str">
        <f ca="1">IFERROR(__xludf.DUMMYFUNCTION("""COMPUTED_VALUE"""),"Y/Y stst tanks")</f>
        <v>Y/Y stst tanks</v>
      </c>
      <c r="I367" s="8" t="str">
        <f ca="1">IFERROR(__xludf.DUMMYFUNCTION("""COMPUTED_VALUE"""),"16 Framo pps")</f>
        <v>16 Framo pps</v>
      </c>
      <c r="J367" s="8" t="str">
        <f ca="1">IFERROR(__xludf.DUMMYFUNCTION("""COMPUTED_VALUE"""),"Wartsila")</f>
        <v>Wartsila</v>
      </c>
      <c r="K367" s="8" t="str">
        <f ca="1">IFERROR(__xludf.DUMMYFUNCTION("""COMPUTED_VALUE"""),"10.5k/8 t GO")</f>
        <v>10.5k/8 t GO</v>
      </c>
      <c r="L367" s="8" t="str">
        <f ca="1">IFERROR(__xludf.DUMMYFUNCTION("""COMPUTED_VALUE"""),"To be chkd")</f>
        <v>To be chkd</v>
      </c>
      <c r="M367" s="8" t="str">
        <f ca="1">IFERROR(__xludf.DUMMYFUNCTION("""COMPUTED_VALUE"""),"SS due 10.29")</f>
        <v>SS due 10.29</v>
      </c>
      <c r="N367" s="8" t="str">
        <f ca="1">IFERROR(__xludf.DUMMYFUNCTION("""COMPUTED_VALUE"""),"N.Europe")</f>
        <v>N.Europe</v>
      </c>
      <c r="O367" s="8" t="str">
        <f ca="1">IFERROR(__xludf.DUMMYFUNCTION("""COMPUTED_VALUE"""),"B.offers")</f>
        <v>B.offers</v>
      </c>
    </row>
    <row r="368" spans="1:15" ht="15.75" customHeight="1" x14ac:dyDescent="0.25">
      <c r="A368" s="8" t="str">
        <f ca="1">IFERROR(__xludf.DUMMYFUNCTION("""COMPUTED_VALUE"""),"TA 4460/22")</f>
        <v>TA 4460/22</v>
      </c>
      <c r="B368" s="8" t="str">
        <f ca="1">IFERROR(__xludf.DUMMYFUNCTION("""COMPUTED_VALUE"""),"DPP  Oil Product Tanker")</f>
        <v>DPP  Oil Product Tanker</v>
      </c>
      <c r="C368" s="9">
        <f ca="1">IFERROR(__xludf.DUMMYFUNCTION("""COMPUTED_VALUE"""),4460)</f>
        <v>4460</v>
      </c>
      <c r="D368" s="8" t="str">
        <f ca="1">IFERROR(__xludf.DUMMYFUNCTION("""COMPUTED_VALUE"""),"2022-China")</f>
        <v>2022-China</v>
      </c>
      <c r="E368" s="8" t="str">
        <f ca="1">IFERROR(__xludf.DUMMYFUNCTION("""COMPUTED_VALUE"""),"88.02 X 13.50")</f>
        <v>88.02 X 13.50</v>
      </c>
      <c r="F368" s="8" t="str">
        <f ca="1">IFERROR(__xludf.DUMMYFUNCTION("""COMPUTED_VALUE"""),"-")</f>
        <v>-</v>
      </c>
      <c r="G368" s="8" t="str">
        <f ca="1">IFERROR(__xludf.DUMMYFUNCTION("""COMPUTED_VALUE"""),"-")</f>
        <v>-</v>
      </c>
      <c r="H368" s="8" t="str">
        <f ca="1">IFERROR(__xludf.DUMMYFUNCTION("""COMPUTED_VALUE"""),"-")</f>
        <v>-</v>
      </c>
      <c r="I368" s="8" t="str">
        <f ca="1">IFERROR(__xludf.DUMMYFUNCTION("""COMPUTED_VALUE"""),"-")</f>
        <v>-</v>
      </c>
      <c r="J368" s="8" t="str">
        <f ca="1">IFERROR(__xludf.DUMMYFUNCTION("""COMPUTED_VALUE"""),"-")</f>
        <v>-</v>
      </c>
      <c r="K368" s="8" t="str">
        <f ca="1">IFERROR(__xludf.DUMMYFUNCTION("""COMPUTED_VALUE"""),"-")</f>
        <v>-</v>
      </c>
      <c r="L368" s="8" t="str">
        <f ca="1">IFERROR(__xludf.DUMMYFUNCTION("""COMPUTED_VALUE"""),"To be chkd")</f>
        <v>To be chkd</v>
      </c>
      <c r="M368" s="8" t="str">
        <f ca="1">IFERROR(__xludf.DUMMYFUNCTION("""COMPUTED_VALUE"""),"CCS Class")</f>
        <v>CCS Class</v>
      </c>
      <c r="N368" s="8" t="str">
        <f ca="1">IFERROR(__xludf.DUMMYFUNCTION("""COMPUTED_VALUE"""),"China")</f>
        <v>China</v>
      </c>
      <c r="O368" s="8" t="str">
        <f ca="1">IFERROR(__xludf.DUMMYFUNCTION("""COMPUTED_VALUE"""),"B.offers")</f>
        <v>B.offers</v>
      </c>
    </row>
    <row r="369" spans="1:15" ht="15.75" customHeight="1" x14ac:dyDescent="0.25">
      <c r="A369" s="8" t="str">
        <f ca="1">IFERROR(__xludf.DUMMYFUNCTION("""COMPUTED_VALUE"""),"TA 4385/07")</f>
        <v>TA 4385/07</v>
      </c>
      <c r="B369" s="8" t="str">
        <f ca="1">IFERROR(__xludf.DUMMYFUNCTION("""COMPUTED_VALUE"""),"Products Tanker")</f>
        <v>Products Tanker</v>
      </c>
      <c r="C369" s="9">
        <f ca="1">IFERROR(__xludf.DUMMYFUNCTION("""COMPUTED_VALUE"""),4385)</f>
        <v>4385</v>
      </c>
      <c r="D369" s="8" t="str">
        <f ca="1">IFERROR(__xludf.DUMMYFUNCTION("""COMPUTED_VALUE"""),"2007-China")</f>
        <v>2007-China</v>
      </c>
      <c r="E369" s="8" t="str">
        <f ca="1">IFERROR(__xludf.DUMMYFUNCTION("""COMPUTED_VALUE"""),"97.69 x 15.00")</f>
        <v>97.69 x 15.00</v>
      </c>
      <c r="F369" s="8" t="str">
        <f ca="1">IFERROR(__xludf.DUMMYFUNCTION("""COMPUTED_VALUE"""),"10")</f>
        <v>10</v>
      </c>
      <c r="G369" s="8">
        <f ca="1">IFERROR(__xludf.DUMMYFUNCTION("""COMPUTED_VALUE"""),5222)</f>
        <v>5222</v>
      </c>
      <c r="H369" s="8" t="str">
        <f ca="1">IFERROR(__xludf.DUMMYFUNCTION("""COMPUTED_VALUE"""),"N/Y Epoxy")</f>
        <v>N/Y Epoxy</v>
      </c>
      <c r="I369" s="8" t="str">
        <f ca="1">IFERROR(__xludf.DUMMYFUNCTION("""COMPUTED_VALUE"""),"-")</f>
        <v>-</v>
      </c>
      <c r="J369" s="8" t="str">
        <f ca="1">IFERROR(__xludf.DUMMYFUNCTION("""COMPUTED_VALUE"""),"Guangzhou")</f>
        <v>Guangzhou</v>
      </c>
      <c r="K369" s="8" t="str">
        <f ca="1">IFERROR(__xludf.DUMMYFUNCTION("""COMPUTED_VALUE"""),"11 k")</f>
        <v>11 k</v>
      </c>
      <c r="L369" s="8" t="str">
        <f ca="1">IFERROR(__xludf.DUMMYFUNCTION("""COMPUTED_VALUE"""),"To be chkd")</f>
        <v>To be chkd</v>
      </c>
      <c r="M369" s="8" t="str">
        <f ca="1">IFERROR(__xludf.DUMMYFUNCTION("""COMPUTED_VALUE"""),"IRS Class")</f>
        <v>IRS Class</v>
      </c>
      <c r="N369" s="8" t="str">
        <f ca="1">IFERROR(__xludf.DUMMYFUNCTION("""COMPUTED_VALUE"""),"Sharjah")</f>
        <v>Sharjah</v>
      </c>
      <c r="O369" s="8" t="str">
        <f ca="1">IFERROR(__xludf.DUMMYFUNCTION("""COMPUTED_VALUE"""),"B.offers")</f>
        <v>B.offers</v>
      </c>
    </row>
    <row r="370" spans="1:15" ht="15.75" customHeight="1" x14ac:dyDescent="0.25">
      <c r="A370" s="8" t="str">
        <f ca="1">IFERROR(__xludf.DUMMYFUNCTION("""COMPUTED_VALUE"""),"TA 4382/15")</f>
        <v>TA 4382/15</v>
      </c>
      <c r="B370" s="8" t="str">
        <f ca="1">IFERROR(__xludf.DUMMYFUNCTION("""COMPUTED_VALUE"""),"StSt Chemical Tanker")</f>
        <v>StSt Chemical Tanker</v>
      </c>
      <c r="C370" s="9">
        <f ca="1">IFERROR(__xludf.DUMMYFUNCTION("""COMPUTED_VALUE"""),4382)</f>
        <v>4382</v>
      </c>
      <c r="D370" s="8" t="str">
        <f ca="1">IFERROR(__xludf.DUMMYFUNCTION("""COMPUTED_VALUE"""),"2015-China")</f>
        <v>2015-China</v>
      </c>
      <c r="E370" s="8" t="str">
        <f ca="1">IFERROR(__xludf.DUMMYFUNCTION("""COMPUTED_VALUE"""),"98.0 x 15.00")</f>
        <v>98.0 x 15.00</v>
      </c>
      <c r="F370" s="8" t="str">
        <f ca="1">IFERROR(__xludf.DUMMYFUNCTION("""COMPUTED_VALUE"""),"8")</f>
        <v>8</v>
      </c>
      <c r="G370" s="8">
        <f ca="1">IFERROR(__xludf.DUMMYFUNCTION("""COMPUTED_VALUE"""),7778)</f>
        <v>7778</v>
      </c>
      <c r="H370" s="8" t="str">
        <f ca="1">IFERROR(__xludf.DUMMYFUNCTION("""COMPUTED_VALUE"""),"Y/stst Tanks")</f>
        <v>Y/stst Tanks</v>
      </c>
      <c r="I370" s="8" t="str">
        <f ca="1">IFERROR(__xludf.DUMMYFUNCTION("""COMPUTED_VALUE"""),"2 x 700")</f>
        <v>2 x 700</v>
      </c>
      <c r="J370" s="8" t="str">
        <f ca="1">IFERROR(__xludf.DUMMYFUNCTION("""COMPUTED_VALUE"""),"Guangzhou")</f>
        <v>Guangzhou</v>
      </c>
      <c r="K370" s="8" t="str">
        <f ca="1">IFERROR(__xludf.DUMMYFUNCTION("""COMPUTED_VALUE"""),"-")</f>
        <v>-</v>
      </c>
      <c r="L370" s="8" t="str">
        <f ca="1">IFERROR(__xludf.DUMMYFUNCTION("""COMPUTED_VALUE"""),"Ice Class B")</f>
        <v>Ice Class B</v>
      </c>
      <c r="M370" s="8" t="str">
        <f ca="1">IFERROR(__xludf.DUMMYFUNCTION("""COMPUTED_VALUE"""),"CCS 3/25D")</f>
        <v>CCS 3/25D</v>
      </c>
      <c r="N370" s="8" t="str">
        <f ca="1">IFERROR(__xludf.DUMMYFUNCTION("""COMPUTED_VALUE"""),"Fareast")</f>
        <v>Fareast</v>
      </c>
      <c r="O370" s="8" t="str">
        <f ca="1">IFERROR(__xludf.DUMMYFUNCTION("""COMPUTED_VALUE"""),"B.offers")</f>
        <v>B.offers</v>
      </c>
    </row>
    <row r="371" spans="1:15" ht="15.75" customHeight="1" x14ac:dyDescent="0.25">
      <c r="A371" s="8" t="str">
        <f ca="1">IFERROR(__xludf.DUMMYFUNCTION("""COMPUTED_VALUE"""),"TA 4352/07")</f>
        <v>TA 4352/07</v>
      </c>
      <c r="B371" s="8" t="str">
        <f ca="1">IFERROR(__xludf.DUMMYFUNCTION("""COMPUTED_VALUE"""),"Product Tanker")</f>
        <v>Product Tanker</v>
      </c>
      <c r="C371" s="9">
        <f ca="1">IFERROR(__xludf.DUMMYFUNCTION("""COMPUTED_VALUE"""),4352)</f>
        <v>4352</v>
      </c>
      <c r="D371" s="8" t="str">
        <f ca="1">IFERROR(__xludf.DUMMYFUNCTION("""COMPUTED_VALUE"""),"2007-China")</f>
        <v>2007-China</v>
      </c>
      <c r="E371" s="8" t="str">
        <f ca="1">IFERROR(__xludf.DUMMYFUNCTION("""COMPUTED_VALUE"""),"99.9  x 14.00")</f>
        <v>99.9  x 14.00</v>
      </c>
      <c r="F371" s="8" t="str">
        <f ca="1">IFERROR(__xludf.DUMMYFUNCTION("""COMPUTED_VALUE"""),"10")</f>
        <v>10</v>
      </c>
      <c r="G371" s="8">
        <f ca="1">IFERROR(__xludf.DUMMYFUNCTION("""COMPUTED_VALUE"""),4614)</f>
        <v>4614</v>
      </c>
      <c r="H371" s="8" t="str">
        <f ca="1">IFERROR(__xludf.DUMMYFUNCTION("""COMPUTED_VALUE"""),"Y Thermal Oil/N")</f>
        <v>Y Thermal Oil/N</v>
      </c>
      <c r="I371" s="8" t="str">
        <f ca="1">IFERROR(__xludf.DUMMYFUNCTION("""COMPUTED_VALUE"""),"2 x 400")</f>
        <v>2 x 400</v>
      </c>
      <c r="J371" s="8" t="str">
        <f ca="1">IFERROR(__xludf.DUMMYFUNCTION("""COMPUTED_VALUE"""),"Ningbo")</f>
        <v>Ningbo</v>
      </c>
      <c r="K371" s="8" t="str">
        <f ca="1">IFERROR(__xludf.DUMMYFUNCTION("""COMPUTED_VALUE"""),"-")</f>
        <v>-</v>
      </c>
      <c r="L371" s="8" t="str">
        <f ca="1">IFERROR(__xludf.DUMMYFUNCTION("""COMPUTED_VALUE"""),"Fitted")</f>
        <v>Fitted</v>
      </c>
      <c r="M371" s="8" t="str">
        <f ca="1">IFERROR(__xludf.DUMMYFUNCTION("""COMPUTED_VALUE"""),"OMCS 4/30D")</f>
        <v>OMCS 4/30D</v>
      </c>
      <c r="N371" s="8" t="str">
        <f ca="1">IFERROR(__xludf.DUMMYFUNCTION("""COMPUTED_VALUE"""),"Fareast")</f>
        <v>Fareast</v>
      </c>
      <c r="O371" s="8" t="str">
        <f ca="1">IFERROR(__xludf.DUMMYFUNCTION("""COMPUTED_VALUE"""),"B.offers")</f>
        <v>B.offers</v>
      </c>
    </row>
    <row r="372" spans="1:15" ht="15.75" customHeight="1" x14ac:dyDescent="0.25">
      <c r="A372" s="8" t="str">
        <f ca="1">IFERROR(__xludf.DUMMYFUNCTION("""COMPUTED_VALUE"""),"TA 4307/01")</f>
        <v>TA 4307/01</v>
      </c>
      <c r="B372" s="8" t="str">
        <f ca="1">IFERROR(__xludf.DUMMYFUNCTION("""COMPUTED_VALUE"""),"Oil Tanker Ice II IMO II")</f>
        <v>Oil Tanker Ice II IMO II</v>
      </c>
      <c r="C372" s="9">
        <f ca="1">IFERROR(__xludf.DUMMYFUNCTION("""COMPUTED_VALUE"""),4307)</f>
        <v>4307</v>
      </c>
      <c r="D372" s="8" t="str">
        <f ca="1">IFERROR(__xludf.DUMMYFUNCTION("""COMPUTED_VALUE"""),"2001-Turkey")</f>
        <v>2001-Turkey</v>
      </c>
      <c r="E372" s="8" t="str">
        <f ca="1">IFERROR(__xludf.DUMMYFUNCTION("""COMPUTED_VALUE"""),"96.3 x 14.20")</f>
        <v>96.3 x 14.20</v>
      </c>
      <c r="F372" s="8" t="str">
        <f ca="1">IFERROR(__xludf.DUMMYFUNCTION("""COMPUTED_VALUE"""),"14")</f>
        <v>14</v>
      </c>
      <c r="G372" s="8">
        <f ca="1">IFERROR(__xludf.DUMMYFUNCTION("""COMPUTED_VALUE"""),4814)</f>
        <v>4814</v>
      </c>
      <c r="H372" s="8" t="str">
        <f ca="1">IFERROR(__xludf.DUMMYFUNCTION("""COMPUTED_VALUE"""),"Y/Y Marineline")</f>
        <v>Y/Y Marineline</v>
      </c>
      <c r="I372" s="8" t="str">
        <f ca="1">IFERROR(__xludf.DUMMYFUNCTION("""COMPUTED_VALUE"""),"12 X 150")</f>
        <v>12 X 150</v>
      </c>
      <c r="J372" s="8" t="str">
        <f ca="1">IFERROR(__xludf.DUMMYFUNCTION("""COMPUTED_VALUE"""),"MAN")</f>
        <v>MAN</v>
      </c>
      <c r="K372" s="8" t="str">
        <f ca="1">IFERROR(__xludf.DUMMYFUNCTION("""COMPUTED_VALUE"""),"12.5 K")</f>
        <v>12.5 K</v>
      </c>
      <c r="L372" s="8" t="str">
        <f ca="1">IFERROR(__xludf.DUMMYFUNCTION("""COMPUTED_VALUE"""),"Fitted")</f>
        <v>Fitted</v>
      </c>
      <c r="M372" s="8" t="str">
        <f ca="1">IFERROR(__xludf.DUMMYFUNCTION("""COMPUTED_VALUE"""),"LR 12/26")</f>
        <v>LR 12/26</v>
      </c>
      <c r="N372" s="8" t="str">
        <f ca="1">IFERROR(__xludf.DUMMYFUNCTION("""COMPUTED_VALUE"""),"UAE/Maldive")</f>
        <v>UAE/Maldive</v>
      </c>
      <c r="O372" s="8" t="str">
        <f ca="1">IFERROR(__xludf.DUMMYFUNCTION("""COMPUTED_VALUE"""),"3.6-3.4 m")</f>
        <v>3.6-3.4 m</v>
      </c>
    </row>
    <row r="373" spans="1:15" ht="15.75" customHeight="1" x14ac:dyDescent="0.25">
      <c r="A373" s="8" t="str">
        <f ca="1">IFERROR(__xludf.DUMMYFUNCTION("""COMPUTED_VALUE"""),"TA 4247/14")</f>
        <v>TA 4247/14</v>
      </c>
      <c r="B373" s="8" t="str">
        <f ca="1">IFERROR(__xludf.DUMMYFUNCTION("""COMPUTED_VALUE"""),"Twinscrew Bunker Tanker")</f>
        <v>Twinscrew Bunker Tanker</v>
      </c>
      <c r="C373" s="9">
        <f ca="1">IFERROR(__xludf.DUMMYFUNCTION("""COMPUTED_VALUE"""),4247)</f>
        <v>4247</v>
      </c>
      <c r="D373" s="8" t="str">
        <f ca="1">IFERROR(__xludf.DUMMYFUNCTION("""COMPUTED_VALUE"""),"2014-China")</f>
        <v>2014-China</v>
      </c>
      <c r="E373" s="8" t="str">
        <f ca="1">IFERROR(__xludf.DUMMYFUNCTION("""COMPUTED_VALUE"""),"89.90 x 15.00")</f>
        <v>89.90 x 15.00</v>
      </c>
      <c r="F373" s="8" t="str">
        <f ca="1">IFERROR(__xludf.DUMMYFUNCTION("""COMPUTED_VALUE"""),"12")</f>
        <v>12</v>
      </c>
      <c r="G373" s="8">
        <f ca="1">IFERROR(__xludf.DUMMYFUNCTION("""COMPUTED_VALUE"""),4128)</f>
        <v>4128</v>
      </c>
      <c r="H373" s="8" t="str">
        <f ca="1">IFERROR(__xludf.DUMMYFUNCTION("""COMPUTED_VALUE"""),"N/N")</f>
        <v>N/N</v>
      </c>
      <c r="I373" s="8" t="str">
        <f ca="1">IFERROR(__xludf.DUMMYFUNCTION("""COMPUTED_VALUE"""),"2 x 1000")</f>
        <v>2 x 1000</v>
      </c>
      <c r="J373" s="8" t="str">
        <f ca="1">IFERROR(__xludf.DUMMYFUNCTION("""COMPUTED_VALUE"""),"2 Yanmar")</f>
        <v>2 Yanmar</v>
      </c>
      <c r="K373" s="8" t="str">
        <f ca="1">IFERROR(__xludf.DUMMYFUNCTION("""COMPUTED_VALUE"""),"11 k")</f>
        <v>11 k</v>
      </c>
      <c r="L373" s="8" t="str">
        <f ca="1">IFERROR(__xludf.DUMMYFUNCTION("""COMPUTED_VALUE"""),"Not fitted")</f>
        <v>Not fitted</v>
      </c>
      <c r="M373" s="8" t="str">
        <f ca="1">IFERROR(__xludf.DUMMYFUNCTION("""COMPUTED_VALUE"""),"NK 3/29D")</f>
        <v>NK 3/29D</v>
      </c>
      <c r="N373" s="8" t="str">
        <f ca="1">IFERROR(__xludf.DUMMYFUNCTION("""COMPUTED_VALUE"""),"Singapore")</f>
        <v>Singapore</v>
      </c>
      <c r="O373" s="8" t="str">
        <f ca="1">IFERROR(__xludf.DUMMYFUNCTION("""COMPUTED_VALUE"""),"7.5-7.3 m")</f>
        <v>7.5-7.3 m</v>
      </c>
    </row>
    <row r="374" spans="1:15" ht="15.75" customHeight="1" x14ac:dyDescent="0.25">
      <c r="A374" s="8" t="str">
        <f ca="1">IFERROR(__xludf.DUMMYFUNCTION("""COMPUTED_VALUE"""),"TA 4200/11")</f>
        <v>TA 4200/11</v>
      </c>
      <c r="B374" s="8" t="str">
        <f ca="1">IFERROR(__xludf.DUMMYFUNCTION("""COMPUTED_VALUE"""),"Oil/Chemical Tanker")</f>
        <v>Oil/Chemical Tanker</v>
      </c>
      <c r="C374" s="9">
        <f ca="1">IFERROR(__xludf.DUMMYFUNCTION("""COMPUTED_VALUE"""),4200)</f>
        <v>4200</v>
      </c>
      <c r="D374" s="8" t="str">
        <f ca="1">IFERROR(__xludf.DUMMYFUNCTION("""COMPUTED_VALUE"""),"2011-China")</f>
        <v>2011-China</v>
      </c>
      <c r="E374" s="8" t="str">
        <f ca="1">IFERROR(__xludf.DUMMYFUNCTION("""COMPUTED_VALUE"""),"96.50 x 15.00")</f>
        <v>96.50 x 15.00</v>
      </c>
      <c r="F374" s="8" t="str">
        <f ca="1">IFERROR(__xludf.DUMMYFUNCTION("""COMPUTED_VALUE"""),"10")</f>
        <v>10</v>
      </c>
      <c r="G374" s="8">
        <f ca="1">IFERROR(__xludf.DUMMYFUNCTION("""COMPUTED_VALUE"""),4399)</f>
        <v>4399</v>
      </c>
      <c r="H374" s="8" t="str">
        <f ca="1">IFERROR(__xludf.DUMMYFUNCTION("""COMPUTED_VALUE"""),"Y/Y stst tanks")</f>
        <v>Y/Y stst tanks</v>
      </c>
      <c r="I374" s="8" t="str">
        <f ca="1">IFERROR(__xludf.DUMMYFUNCTION("""COMPUTED_VALUE"""),"2 x 400")</f>
        <v>2 x 400</v>
      </c>
      <c r="J374" s="8" t="str">
        <f ca="1">IFERROR(__xludf.DUMMYFUNCTION("""COMPUTED_VALUE"""),"Chinese Std")</f>
        <v>Chinese Std</v>
      </c>
      <c r="K374" s="8" t="str">
        <f ca="1">IFERROR(__xludf.DUMMYFUNCTION("""COMPUTED_VALUE"""),"12 k")</f>
        <v>12 k</v>
      </c>
      <c r="L374" s="8" t="str">
        <f ca="1">IFERROR(__xludf.DUMMYFUNCTION("""COMPUTED_VALUE"""),"To be chkd")</f>
        <v>To be chkd</v>
      </c>
      <c r="M374" s="8" t="str">
        <f ca="1">IFERROR(__xludf.DUMMYFUNCTION("""COMPUTED_VALUE"""),"IACS Class")</f>
        <v>IACS Class</v>
      </c>
      <c r="N374" s="8" t="str">
        <f ca="1">IFERROR(__xludf.DUMMYFUNCTION("""COMPUTED_VALUE"""),"Fareast")</f>
        <v>Fareast</v>
      </c>
      <c r="O374" s="8" t="str">
        <f ca="1">IFERROR(__xludf.DUMMYFUNCTION("""COMPUTED_VALUE"""),"7.5 m")</f>
        <v>7.5 m</v>
      </c>
    </row>
    <row r="375" spans="1:15" ht="15.75" customHeight="1" x14ac:dyDescent="0.25">
      <c r="A375" s="8" t="str">
        <f ca="1">IFERROR(__xludf.DUMMYFUNCTION("""COMPUTED_VALUE"""),"TA 4199/07A")</f>
        <v>TA 4199/07A</v>
      </c>
      <c r="B375" s="8" t="str">
        <f ca="1">IFERROR(__xludf.DUMMYFUNCTION("""COMPUTED_VALUE"""),"Chemical/Oil Tanker")</f>
        <v>Chemical/Oil Tanker</v>
      </c>
      <c r="C375" s="9">
        <f ca="1">IFERROR(__xludf.DUMMYFUNCTION("""COMPUTED_VALUE"""),4199)</f>
        <v>4199</v>
      </c>
      <c r="D375" s="8" t="str">
        <f ca="1">IFERROR(__xludf.DUMMYFUNCTION("""COMPUTED_VALUE"""),"2007-China")</f>
        <v>2007-China</v>
      </c>
      <c r="E375" s="8" t="str">
        <f ca="1">IFERROR(__xludf.DUMMYFUNCTION("""COMPUTED_VALUE"""),"96.60 x 15.00")</f>
        <v>96.60 x 15.00</v>
      </c>
      <c r="F375" s="8" t="str">
        <f ca="1">IFERROR(__xludf.DUMMYFUNCTION("""COMPUTED_VALUE"""),"10")</f>
        <v>10</v>
      </c>
      <c r="G375" s="8">
        <f ca="1">IFERROR(__xludf.DUMMYFUNCTION("""COMPUTED_VALUE"""),4267)</f>
        <v>4267</v>
      </c>
      <c r="H375" s="8" t="str">
        <f ca="1">IFERROR(__xludf.DUMMYFUNCTION("""COMPUTED_VALUE"""),"N/Y Zinc")</f>
        <v>N/Y Zinc</v>
      </c>
      <c r="I375" s="8" t="str">
        <f ca="1">IFERROR(__xludf.DUMMYFUNCTION("""COMPUTED_VALUE"""),"2 x 300")</f>
        <v>2 x 300</v>
      </c>
      <c r="J375" s="8" t="str">
        <f ca="1">IFERROR(__xludf.DUMMYFUNCTION("""COMPUTED_VALUE"""),"Guangzhou")</f>
        <v>Guangzhou</v>
      </c>
      <c r="K375" s="8" t="str">
        <f ca="1">IFERROR(__xludf.DUMMYFUNCTION("""COMPUTED_VALUE"""),"10.4 k/4.5 t")</f>
        <v>10.4 k/4.5 t</v>
      </c>
      <c r="L375" s="8" t="str">
        <f ca="1">IFERROR(__xludf.DUMMYFUNCTION("""COMPUTED_VALUE"""),"Fitted")</f>
        <v>Fitted</v>
      </c>
      <c r="M375" s="8" t="str">
        <f ca="1">IFERROR(__xludf.DUMMYFUNCTION("""COMPUTED_VALUE"""),"BV 9/26D")</f>
        <v>BV 9/26D</v>
      </c>
      <c r="N375" s="8" t="str">
        <f ca="1">IFERROR(__xludf.DUMMYFUNCTION("""COMPUTED_VALUE"""),"China")</f>
        <v>China</v>
      </c>
      <c r="O375" s="8" t="str">
        <f ca="1">IFERROR(__xludf.DUMMYFUNCTION("""COMPUTED_VALUE"""),"B.offers")</f>
        <v>B.offers</v>
      </c>
    </row>
    <row r="376" spans="1:15" ht="15.75" customHeight="1" x14ac:dyDescent="0.25">
      <c r="A376" s="8" t="str">
        <f ca="1">IFERROR(__xludf.DUMMYFUNCTION("""COMPUTED_VALUE"""),"TA 4199/07B")</f>
        <v>TA 4199/07B</v>
      </c>
      <c r="B376" s="8" t="str">
        <f ca="1">IFERROR(__xludf.DUMMYFUNCTION("""COMPUTED_VALUE"""),"Chemical IMO 2 Tanker")</f>
        <v>Chemical IMO 2 Tanker</v>
      </c>
      <c r="C376" s="9">
        <f ca="1">IFERROR(__xludf.DUMMYFUNCTION("""COMPUTED_VALUE"""),4199)</f>
        <v>4199</v>
      </c>
      <c r="D376" s="8" t="str">
        <f ca="1">IFERROR(__xludf.DUMMYFUNCTION("""COMPUTED_VALUE"""),"2007-China")</f>
        <v>2007-China</v>
      </c>
      <c r="E376" s="8" t="str">
        <f ca="1">IFERROR(__xludf.DUMMYFUNCTION("""COMPUTED_VALUE"""),"96.60 x 15.00")</f>
        <v>96.60 x 15.00</v>
      </c>
      <c r="F376" s="8" t="str">
        <f ca="1">IFERROR(__xludf.DUMMYFUNCTION("""COMPUTED_VALUE"""),"10")</f>
        <v>10</v>
      </c>
      <c r="G376" s="8">
        <f ca="1">IFERROR(__xludf.DUMMYFUNCTION("""COMPUTED_VALUE"""),4044)</f>
        <v>4044</v>
      </c>
      <c r="H376" s="8" t="str">
        <f ca="1">IFERROR(__xludf.DUMMYFUNCTION("""COMPUTED_VALUE"""),"N/Y Zinc Silicate")</f>
        <v>N/Y Zinc Silicate</v>
      </c>
      <c r="I376" s="8" t="str">
        <f ca="1">IFERROR(__xludf.DUMMYFUNCTION("""COMPUTED_VALUE"""),"2 x 300")</f>
        <v>2 x 300</v>
      </c>
      <c r="J376" s="8" t="str">
        <f ca="1">IFERROR(__xludf.DUMMYFUNCTION("""COMPUTED_VALUE"""),"Guangzhou")</f>
        <v>Guangzhou</v>
      </c>
      <c r="K376" s="8" t="str">
        <f ca="1">IFERROR(__xludf.DUMMYFUNCTION("""COMPUTED_VALUE"""),"12.2 k/8.68 t ")</f>
        <v xml:space="preserve">12.2 k/8.68 t </v>
      </c>
      <c r="L376" s="8" t="str">
        <f ca="1">IFERROR(__xludf.DUMMYFUNCTION("""COMPUTED_VALUE"""),"Fitted")</f>
        <v>Fitted</v>
      </c>
      <c r="M376" s="8" t="str">
        <f ca="1">IFERROR(__xludf.DUMMYFUNCTION("""COMPUTED_VALUE"""),"BV 12/26D")</f>
        <v>BV 12/26D</v>
      </c>
      <c r="N376" s="8" t="str">
        <f ca="1">IFERROR(__xludf.DUMMYFUNCTION("""COMPUTED_VALUE"""),"Sgpore/PG")</f>
        <v>Sgpore/PG</v>
      </c>
      <c r="O376" s="8" t="str">
        <f ca="1">IFERROR(__xludf.DUMMYFUNCTION("""COMPUTED_VALUE"""),"B.offers")</f>
        <v>B.offers</v>
      </c>
    </row>
    <row r="377" spans="1:15" ht="15.75" customHeight="1" x14ac:dyDescent="0.25">
      <c r="A377" s="8" t="str">
        <f ca="1">IFERROR(__xludf.DUMMYFUNCTION("""COMPUTED_VALUE"""),"TA 4183/11")</f>
        <v>TA 4183/11</v>
      </c>
      <c r="B377" s="8" t="str">
        <f ca="1">IFERROR(__xludf.DUMMYFUNCTION("""COMPUTED_VALUE"""),"StSt Oil/Chem Ice II")</f>
        <v>StSt Oil/Chem Ice II</v>
      </c>
      <c r="C377" s="9">
        <f ca="1">IFERROR(__xludf.DUMMYFUNCTION("""COMPUTED_VALUE"""),4183)</f>
        <v>4183</v>
      </c>
      <c r="D377" s="8" t="str">
        <f ca="1">IFERROR(__xludf.DUMMYFUNCTION("""COMPUTED_VALUE"""),"2011-China")</f>
        <v>2011-China</v>
      </c>
      <c r="E377" s="8" t="str">
        <f ca="1">IFERROR(__xludf.DUMMYFUNCTION("""COMPUTED_VALUE"""),"96.50 x 15.00")</f>
        <v>96.50 x 15.00</v>
      </c>
      <c r="F377" s="8" t="str">
        <f ca="1">IFERROR(__xludf.DUMMYFUNCTION("""COMPUTED_VALUE"""),"10")</f>
        <v>10</v>
      </c>
      <c r="G377" s="8">
        <f ca="1">IFERROR(__xludf.DUMMYFUNCTION("""COMPUTED_VALUE"""),4400)</f>
        <v>4400</v>
      </c>
      <c r="H377" s="8" t="str">
        <f ca="1">IFERROR(__xludf.DUMMYFUNCTION("""COMPUTED_VALUE"""),"Y/Y stst tanks")</f>
        <v>Y/Y stst tanks</v>
      </c>
      <c r="I377" s="8" t="str">
        <f ca="1">IFERROR(__xludf.DUMMYFUNCTION("""COMPUTED_VALUE"""),"2 X 400")</f>
        <v>2 X 400</v>
      </c>
      <c r="J377" s="8" t="str">
        <f ca="1">IFERROR(__xludf.DUMMYFUNCTION("""COMPUTED_VALUE"""),"Chinese Std")</f>
        <v>Chinese Std</v>
      </c>
      <c r="K377" s="8" t="str">
        <f ca="1">IFERROR(__xludf.DUMMYFUNCTION("""COMPUTED_VALUE"""),"12 k")</f>
        <v>12 k</v>
      </c>
      <c r="L377" s="8" t="str">
        <f ca="1">IFERROR(__xludf.DUMMYFUNCTION("""COMPUTED_VALUE"""),"To be chkd")</f>
        <v>To be chkd</v>
      </c>
      <c r="M377" s="8" t="str">
        <f ca="1">IFERROR(__xludf.DUMMYFUNCTION("""COMPUTED_VALUE"""),"CCS Ice 2")</f>
        <v>CCS Ice 2</v>
      </c>
      <c r="N377" s="8" t="str">
        <f ca="1">IFERROR(__xludf.DUMMYFUNCTION("""COMPUTED_VALUE"""),"China")</f>
        <v>China</v>
      </c>
      <c r="O377" s="8" t="str">
        <f ca="1">IFERROR(__xludf.DUMMYFUNCTION("""COMPUTED_VALUE"""),"7.5-6.5 m")</f>
        <v>7.5-6.5 m</v>
      </c>
    </row>
    <row r="378" spans="1:15" ht="15.75" customHeight="1" x14ac:dyDescent="0.25">
      <c r="A378" s="8" t="str">
        <f ca="1">IFERROR(__xludf.DUMMYFUNCTION("""COMPUTED_VALUE"""),"TA 4066/21")</f>
        <v>TA 4066/21</v>
      </c>
      <c r="B378" s="8" t="str">
        <f ca="1">IFERROR(__xludf.DUMMYFUNCTION("""COMPUTED_VALUE"""),"Molten Sulphur Tanker")</f>
        <v>Molten Sulphur Tanker</v>
      </c>
      <c r="C378" s="9">
        <f ca="1">IFERROR(__xludf.DUMMYFUNCTION("""COMPUTED_VALUE"""),4066)</f>
        <v>4066</v>
      </c>
      <c r="D378" s="8" t="str">
        <f ca="1">IFERROR(__xludf.DUMMYFUNCTION("""COMPUTED_VALUE"""),"2021-China")</f>
        <v>2021-China</v>
      </c>
      <c r="E378" s="8" t="str">
        <f ca="1">IFERROR(__xludf.DUMMYFUNCTION("""COMPUTED_VALUE"""),"97.00 x 15.80")</f>
        <v>97.00 x 15.80</v>
      </c>
      <c r="F378" s="8" t="str">
        <f ca="1">IFERROR(__xludf.DUMMYFUNCTION("""COMPUTED_VALUE"""),"8")</f>
        <v>8</v>
      </c>
      <c r="G378" s="8">
        <f ca="1">IFERROR(__xludf.DUMMYFUNCTION("""COMPUTED_VALUE"""),2305)</f>
        <v>2305</v>
      </c>
      <c r="H378" s="8" t="str">
        <f ca="1">IFERROR(__xludf.DUMMYFUNCTION("""COMPUTED_VALUE"""),"Y/N")</f>
        <v>Y/N</v>
      </c>
      <c r="I378" s="8" t="str">
        <f ca="1">IFERROR(__xludf.DUMMYFUNCTION("""COMPUTED_VALUE"""),"4 x 100")</f>
        <v>4 x 100</v>
      </c>
      <c r="J378" s="8" t="str">
        <f ca="1">IFERROR(__xludf.DUMMYFUNCTION("""COMPUTED_VALUE"""),"Daihatsu")</f>
        <v>Daihatsu</v>
      </c>
      <c r="K378" s="8" t="str">
        <f ca="1">IFERROR(__xludf.DUMMYFUNCTION("""COMPUTED_VALUE"""),"-")</f>
        <v>-</v>
      </c>
      <c r="L378" s="8" t="str">
        <f ca="1">IFERROR(__xludf.DUMMYFUNCTION("""COMPUTED_VALUE"""),"Fitted")</f>
        <v>Fitted</v>
      </c>
      <c r="M378" s="8" t="str">
        <f ca="1">IFERROR(__xludf.DUMMYFUNCTION("""COMPUTED_VALUE"""),"CCS Ice 2")</f>
        <v>CCS Ice 2</v>
      </c>
      <c r="N378" s="8" t="str">
        <f ca="1">IFERROR(__xludf.DUMMYFUNCTION("""COMPUTED_VALUE"""),"China")</f>
        <v>China</v>
      </c>
      <c r="O378" s="8" t="str">
        <f ca="1">IFERROR(__xludf.DUMMYFUNCTION("""COMPUTED_VALUE"""),"B.offers")</f>
        <v>B.offers</v>
      </c>
    </row>
    <row r="379" spans="1:15" ht="15.75" customHeight="1" x14ac:dyDescent="0.25">
      <c r="A379" s="8" t="str">
        <f ca="1">IFERROR(__xludf.DUMMYFUNCTION("""COMPUTED_VALUE"""),"TA 4065/98")</f>
        <v>TA 4065/98</v>
      </c>
      <c r="B379" s="8" t="str">
        <f ca="1">IFERROR(__xludf.DUMMYFUNCTION("""COMPUTED_VALUE"""),"StSt Oil/Chemical Tanker")</f>
        <v>StSt Oil/Chemical Tanker</v>
      </c>
      <c r="C379" s="9">
        <f ca="1">IFERROR(__xludf.DUMMYFUNCTION("""COMPUTED_VALUE"""),4065)</f>
        <v>4065</v>
      </c>
      <c r="D379" s="8" t="str">
        <f ca="1">IFERROR(__xludf.DUMMYFUNCTION("""COMPUTED_VALUE"""),"1998-Japan")</f>
        <v>1998-Japan</v>
      </c>
      <c r="E379" s="8" t="str">
        <f ca="1">IFERROR(__xludf.DUMMYFUNCTION("""COMPUTED_VALUE"""),"93.3 x 14.80")</f>
        <v>93.3 x 14.80</v>
      </c>
      <c r="F379" s="8" t="str">
        <f ca="1">IFERROR(__xludf.DUMMYFUNCTION("""COMPUTED_VALUE"""),"8")</f>
        <v>8</v>
      </c>
      <c r="G379" s="8">
        <f ca="1">IFERROR(__xludf.DUMMYFUNCTION("""COMPUTED_VALUE"""),4066)</f>
        <v>4066</v>
      </c>
      <c r="H379" s="8" t="str">
        <f ca="1">IFERROR(__xludf.DUMMYFUNCTION("""COMPUTED_VALUE"""),"Y/Y stst tanks")</f>
        <v>Y/Y stst tanks</v>
      </c>
      <c r="I379" s="8" t="str">
        <f ca="1">IFERROR(__xludf.DUMMYFUNCTION("""COMPUTED_VALUE"""),"8 x 230")</f>
        <v>8 x 230</v>
      </c>
      <c r="J379" s="8" t="str">
        <f ca="1">IFERROR(__xludf.DUMMYFUNCTION("""COMPUTED_VALUE"""),"MAN-B&amp;W")</f>
        <v>MAN-B&amp;W</v>
      </c>
      <c r="K379" s="8" t="str">
        <f ca="1">IFERROR(__xludf.DUMMYFUNCTION("""COMPUTED_VALUE"""),"11.5 k")</f>
        <v>11.5 k</v>
      </c>
      <c r="L379" s="8" t="str">
        <f ca="1">IFERROR(__xludf.DUMMYFUNCTION("""COMPUTED_VALUE"""),"To be chkd")</f>
        <v>To be chkd</v>
      </c>
      <c r="M379" s="8" t="str">
        <f ca="1">IFERROR(__xludf.DUMMYFUNCTION("""COMPUTED_VALUE"""),"KR 9/27 D")</f>
        <v>KR 9/27 D</v>
      </c>
      <c r="N379" s="8" t="str">
        <f ca="1">IFERROR(__xludf.DUMMYFUNCTION("""COMPUTED_VALUE"""),"Fareast")</f>
        <v>Fareast</v>
      </c>
      <c r="O379" s="8" t="str">
        <f ca="1">IFERROR(__xludf.DUMMYFUNCTION("""COMPUTED_VALUE"""),"3.4 m")</f>
        <v>3.4 m</v>
      </c>
    </row>
    <row r="380" spans="1:15" ht="15.75" customHeight="1" x14ac:dyDescent="0.25">
      <c r="A380" s="8" t="str">
        <f ca="1">IFERROR(__xludf.DUMMYFUNCTION("""COMPUTED_VALUE"""),"TA 4037/05")</f>
        <v>TA 4037/05</v>
      </c>
      <c r="B380" s="8" t="str">
        <f ca="1">IFERROR(__xludf.DUMMYFUNCTION("""COMPUTED_VALUE"""),"Chemical Oil Tanker IMO II")</f>
        <v>Chemical Oil Tanker IMO II</v>
      </c>
      <c r="C380" s="9">
        <f ca="1">IFERROR(__xludf.DUMMYFUNCTION("""COMPUTED_VALUE"""),4037)</f>
        <v>4037</v>
      </c>
      <c r="D380" s="8" t="str">
        <f ca="1">IFERROR(__xludf.DUMMYFUNCTION("""COMPUTED_VALUE"""),"2005-Turkey")</f>
        <v>2005-Turkey</v>
      </c>
      <c r="E380" s="8" t="str">
        <f ca="1">IFERROR(__xludf.DUMMYFUNCTION("""COMPUTED_VALUE"""),"94.71 x 14.70")</f>
        <v>94.71 x 14.70</v>
      </c>
      <c r="F380" s="8" t="str">
        <f ca="1">IFERROR(__xludf.DUMMYFUNCTION("""COMPUTED_VALUE"""),"14")</f>
        <v>14</v>
      </c>
      <c r="G380" s="8">
        <f ca="1">IFERROR(__xludf.DUMMYFUNCTION("""COMPUTED_VALUE"""),4444)</f>
        <v>4444</v>
      </c>
      <c r="H380" s="8" t="str">
        <f ca="1">IFERROR(__xludf.DUMMYFUNCTION("""COMPUTED_VALUE"""),"Y stst/Y Marineli")</f>
        <v>Y stst/Y Marineli</v>
      </c>
      <c r="I380" s="8" t="str">
        <f ca="1">IFERROR(__xludf.DUMMYFUNCTION("""COMPUTED_VALUE"""),"10 x 125 + 2 x 100")</f>
        <v>10 x 125 + 2 x 100</v>
      </c>
      <c r="J380" s="8" t="str">
        <f ca="1">IFERROR(__xludf.DUMMYFUNCTION("""COMPUTED_VALUE"""),"MAK")</f>
        <v>MAK</v>
      </c>
      <c r="K380" s="8" t="str">
        <f ca="1">IFERROR(__xludf.DUMMYFUNCTION("""COMPUTED_VALUE"""),"-")</f>
        <v>-</v>
      </c>
      <c r="L380" s="8" t="str">
        <f ca="1">IFERROR(__xludf.DUMMYFUNCTION("""COMPUTED_VALUE"""),"Fitted")</f>
        <v>Fitted</v>
      </c>
      <c r="M380" s="8" t="str">
        <f ca="1">IFERROR(__xludf.DUMMYFUNCTION("""COMPUTED_VALUE"""),"BV 5.25D")</f>
        <v>BV 5.25D</v>
      </c>
      <c r="N380" s="8" t="str">
        <f ca="1">IFERROR(__xludf.DUMMYFUNCTION("""COMPUTED_VALUE"""),"Med")</f>
        <v>Med</v>
      </c>
      <c r="O380" s="8" t="str">
        <f ca="1">IFERROR(__xludf.DUMMYFUNCTION("""COMPUTED_VALUE"""),"B.offers")</f>
        <v>B.offers</v>
      </c>
    </row>
    <row r="381" spans="1:15" ht="15.75" customHeight="1" x14ac:dyDescent="0.25">
      <c r="A381" s="8" t="str">
        <f ca="1">IFERROR(__xludf.DUMMYFUNCTION("""COMPUTED_VALUE"""),"TA 4030/06")</f>
        <v>TA 4030/06</v>
      </c>
      <c r="B381" s="8" t="str">
        <f ca="1">IFERROR(__xludf.DUMMYFUNCTION("""COMPUTED_VALUE"""),"Chemical/Oil Tanker")</f>
        <v>Chemical/Oil Tanker</v>
      </c>
      <c r="C381" s="9">
        <f ca="1">IFERROR(__xludf.DUMMYFUNCTION("""COMPUTED_VALUE"""),4030)</f>
        <v>4030</v>
      </c>
      <c r="D381" s="8" t="str">
        <f ca="1">IFERROR(__xludf.DUMMYFUNCTION("""COMPUTED_VALUE"""),"2006-China")</f>
        <v>2006-China</v>
      </c>
      <c r="E381" s="8" t="str">
        <f ca="1">IFERROR(__xludf.DUMMYFUNCTION("""COMPUTED_VALUE"""),"96.6 x 15.0")</f>
        <v>96.6 x 15.0</v>
      </c>
      <c r="F381" s="8" t="str">
        <f ca="1">IFERROR(__xludf.DUMMYFUNCTION("""COMPUTED_VALUE"""),"10")</f>
        <v>10</v>
      </c>
      <c r="G381" s="8">
        <f ca="1">IFERROR(__xludf.DUMMYFUNCTION("""COMPUTED_VALUE"""),4293)</f>
        <v>4293</v>
      </c>
      <c r="H381" s="8" t="str">
        <f ca="1">IFERROR(__xludf.DUMMYFUNCTION("""COMPUTED_VALUE"""),"N/Y Zinc")</f>
        <v>N/Y Zinc</v>
      </c>
      <c r="I381" s="8" t="str">
        <f ca="1">IFERROR(__xludf.DUMMYFUNCTION("""COMPUTED_VALUE"""),"2 x 300")</f>
        <v>2 x 300</v>
      </c>
      <c r="J381" s="8" t="str">
        <f ca="1">IFERROR(__xludf.DUMMYFUNCTION("""COMPUTED_VALUE"""),"Chinese Std")</f>
        <v>Chinese Std</v>
      </c>
      <c r="K381" s="8" t="str">
        <f ca="1">IFERROR(__xludf.DUMMYFUNCTION("""COMPUTED_VALUE"""),"11k/6 t")</f>
        <v>11k/6 t</v>
      </c>
      <c r="L381" s="8" t="str">
        <f ca="1">IFERROR(__xludf.DUMMYFUNCTION("""COMPUTED_VALUE"""),"Fitted")</f>
        <v>Fitted</v>
      </c>
      <c r="M381" s="8" t="str">
        <f ca="1">IFERROR(__xludf.DUMMYFUNCTION("""COMPUTED_VALUE"""),"CCS 7/27D")</f>
        <v>CCS 7/27D</v>
      </c>
      <c r="N381" s="8" t="str">
        <f ca="1">IFERROR(__xludf.DUMMYFUNCTION("""COMPUTED_VALUE"""),"China")</f>
        <v>China</v>
      </c>
      <c r="O381" s="8" t="str">
        <f ca="1">IFERROR(__xludf.DUMMYFUNCTION("""COMPUTED_VALUE"""),"B.offers")</f>
        <v>B.offers</v>
      </c>
    </row>
    <row r="382" spans="1:15" ht="15.75" customHeight="1" x14ac:dyDescent="0.25">
      <c r="A382" s="8" t="str">
        <f ca="1">IFERROR(__xludf.DUMMYFUNCTION("""COMPUTED_VALUE"""),"TA 3955/07")</f>
        <v>TA 3955/07</v>
      </c>
      <c r="B382" s="8" t="str">
        <f ca="1">IFERROR(__xludf.DUMMYFUNCTION("""COMPUTED_VALUE"""),"St.St. Chemical/Oil Tanker")</f>
        <v>St.St. Chemical/Oil Tanker</v>
      </c>
      <c r="C382" s="9">
        <f ca="1">IFERROR(__xludf.DUMMYFUNCTION("""COMPUTED_VALUE"""),3955)</f>
        <v>3955</v>
      </c>
      <c r="D382" s="8" t="str">
        <f ca="1">IFERROR(__xludf.DUMMYFUNCTION("""COMPUTED_VALUE"""),"2007-China")</f>
        <v>2007-China</v>
      </c>
      <c r="E382" s="8" t="str">
        <f ca="1">IFERROR(__xludf.DUMMYFUNCTION("""COMPUTED_VALUE"""),"95.03 x 15.00")</f>
        <v>95.03 x 15.00</v>
      </c>
      <c r="F382" s="8" t="str">
        <f ca="1">IFERROR(__xludf.DUMMYFUNCTION("""COMPUTED_VALUE"""),"8")</f>
        <v>8</v>
      </c>
      <c r="G382" s="8">
        <f ca="1">IFERROR(__xludf.DUMMYFUNCTION("""COMPUTED_VALUE"""),3935)</f>
        <v>3935</v>
      </c>
      <c r="H382" s="8" t="str">
        <f ca="1">IFERROR(__xludf.DUMMYFUNCTION("""COMPUTED_VALUE"""),"Y St.St / Y St.St")</f>
        <v>Y St.St / Y St.St</v>
      </c>
      <c r="I382" s="8" t="str">
        <f ca="1">IFERROR(__xludf.DUMMYFUNCTION("""COMPUTED_VALUE"""),"-")</f>
        <v>-</v>
      </c>
      <c r="J382" s="8" t="str">
        <f ca="1">IFERROR(__xludf.DUMMYFUNCTION("""COMPUTED_VALUE"""),"Yanmar")</f>
        <v>Yanmar</v>
      </c>
      <c r="K382" s="8" t="str">
        <f ca="1">IFERROR(__xludf.DUMMYFUNCTION("""COMPUTED_VALUE"""),"11.5 k/5.1 t")</f>
        <v>11.5 k/5.1 t</v>
      </c>
      <c r="L382" s="8" t="str">
        <f ca="1">IFERROR(__xludf.DUMMYFUNCTION("""COMPUTED_VALUE"""),"To be chkd")</f>
        <v>To be chkd</v>
      </c>
      <c r="M382" s="8" t="str">
        <f ca="1">IFERROR(__xludf.DUMMYFUNCTION("""COMPUTED_VALUE"""),"CCS 7.22P")</f>
        <v>CCS 7.22P</v>
      </c>
      <c r="N382" s="8" t="str">
        <f ca="1">IFERROR(__xludf.DUMMYFUNCTION("""COMPUTED_VALUE"""),"China")</f>
        <v>China</v>
      </c>
      <c r="O382" s="8" t="str">
        <f ca="1">IFERROR(__xludf.DUMMYFUNCTION("""COMPUTED_VALUE"""),"B.offers")</f>
        <v>B.offers</v>
      </c>
    </row>
    <row r="383" spans="1:15" ht="15.75" customHeight="1" x14ac:dyDescent="0.25">
      <c r="A383" s="8" t="str">
        <f ca="1">IFERROR(__xludf.DUMMYFUNCTION("""COMPUTED_VALUE"""),"TA 3896/98")</f>
        <v>TA 3896/98</v>
      </c>
      <c r="B383" s="8" t="str">
        <f ca="1">IFERROR(__xludf.DUMMYFUNCTION("""COMPUTED_VALUE"""),"Products Oil Tanker")</f>
        <v>Products Oil Tanker</v>
      </c>
      <c r="C383" s="9">
        <f ca="1">IFERROR(__xludf.DUMMYFUNCTION("""COMPUTED_VALUE"""),3896)</f>
        <v>3896</v>
      </c>
      <c r="D383" s="8" t="str">
        <f ca="1">IFERROR(__xludf.DUMMYFUNCTION("""COMPUTED_VALUE"""),"1998-Japan")</f>
        <v>1998-Japan</v>
      </c>
      <c r="E383" s="8" t="str">
        <f ca="1">IFERROR(__xludf.DUMMYFUNCTION("""COMPUTED_VALUE"""),"89.9 x 18.00")</f>
        <v>89.9 x 18.00</v>
      </c>
      <c r="F383" s="8" t="str">
        <f ca="1">IFERROR(__xludf.DUMMYFUNCTION("""COMPUTED_VALUE"""),"10")</f>
        <v>10</v>
      </c>
      <c r="G383" s="8">
        <f ca="1">IFERROR(__xludf.DUMMYFUNCTION("""COMPUTED_VALUE"""),3923)</f>
        <v>3923</v>
      </c>
      <c r="H383" s="8" t="str">
        <f ca="1">IFERROR(__xludf.DUMMYFUNCTION("""COMPUTED_VALUE"""),"N/Y Epoxy")</f>
        <v>N/Y Epoxy</v>
      </c>
      <c r="I383" s="8" t="str">
        <f ca="1">IFERROR(__xludf.DUMMYFUNCTION("""COMPUTED_VALUE"""),"4 x 300")</f>
        <v>4 x 300</v>
      </c>
      <c r="J383" s="8" t="str">
        <f ca="1">IFERROR(__xludf.DUMMYFUNCTION("""COMPUTED_VALUE"""),"Akasaka")</f>
        <v>Akasaka</v>
      </c>
      <c r="K383" s="8" t="str">
        <f ca="1">IFERROR(__xludf.DUMMYFUNCTION("""COMPUTED_VALUE"""),"8.5 k/6.6 t DO")</f>
        <v>8.5 k/6.6 t DO</v>
      </c>
      <c r="L383" s="8" t="str">
        <f ca="1">IFERROR(__xludf.DUMMYFUNCTION("""COMPUTED_VALUE"""),"Fitted")</f>
        <v>Fitted</v>
      </c>
      <c r="M383" s="8" t="str">
        <f ca="1">IFERROR(__xludf.DUMMYFUNCTION("""COMPUTED_VALUE"""),"IRS 12.28D")</f>
        <v>IRS 12.28D</v>
      </c>
      <c r="N383" s="8" t="str">
        <f ca="1">IFERROR(__xludf.DUMMYFUNCTION("""COMPUTED_VALUE"""),"Fareast")</f>
        <v>Fareast</v>
      </c>
      <c r="O383" s="8" t="str">
        <f ca="1">IFERROR(__xludf.DUMMYFUNCTION("""COMPUTED_VALUE"""),"B.offers")</f>
        <v>B.offers</v>
      </c>
    </row>
    <row r="384" spans="1:15" ht="15.75" customHeight="1" x14ac:dyDescent="0.25">
      <c r="A384" s="8" t="str">
        <f ca="1">IFERROR(__xludf.DUMMYFUNCTION("""COMPUTED_VALUE"""),"TA 3845/06")</f>
        <v>TA 3845/06</v>
      </c>
      <c r="B384" s="8" t="str">
        <f ca="1">IFERROR(__xludf.DUMMYFUNCTION("""COMPUTED_VALUE"""),"Products/Ice II Tanker")</f>
        <v>Products/Ice II Tanker</v>
      </c>
      <c r="C384" s="9">
        <f ca="1">IFERROR(__xludf.DUMMYFUNCTION("""COMPUTED_VALUE"""),3845)</f>
        <v>3845</v>
      </c>
      <c r="D384" s="8" t="str">
        <f ca="1">IFERROR(__xludf.DUMMYFUNCTION("""COMPUTED_VALUE"""),"2006-China")</f>
        <v>2006-China</v>
      </c>
      <c r="E384" s="8" t="str">
        <f ca="1">IFERROR(__xludf.DUMMYFUNCTION("""COMPUTED_VALUE"""),"95.80 x 15.20")</f>
        <v>95.80 x 15.20</v>
      </c>
      <c r="F384" s="8" t="str">
        <f ca="1">IFERROR(__xludf.DUMMYFUNCTION("""COMPUTED_VALUE"""),"10")</f>
        <v>10</v>
      </c>
      <c r="G384" s="8">
        <f ca="1">IFERROR(__xludf.DUMMYFUNCTION("""COMPUTED_VALUE"""),4362)</f>
        <v>4362</v>
      </c>
      <c r="H384" s="8" t="str">
        <f ca="1">IFERROR(__xludf.DUMMYFUNCTION("""COMPUTED_VALUE"""),"Y/Y Marineline")</f>
        <v>Y/Y Marineline</v>
      </c>
      <c r="I384" s="8" t="str">
        <f ca="1">IFERROR(__xludf.DUMMYFUNCTION("""COMPUTED_VALUE"""),"10 X 120")</f>
        <v>10 X 120</v>
      </c>
      <c r="J384" s="8" t="str">
        <f ca="1">IFERROR(__xludf.DUMMYFUNCTION("""COMPUTED_VALUE"""),"Daihatsu")</f>
        <v>Daihatsu</v>
      </c>
      <c r="K384" s="8" t="str">
        <f ca="1">IFERROR(__xludf.DUMMYFUNCTION("""COMPUTED_VALUE"""),"-")</f>
        <v>-</v>
      </c>
      <c r="L384" s="8" t="str">
        <f ca="1">IFERROR(__xludf.DUMMYFUNCTION("""COMPUTED_VALUE"""),"Fitted")</f>
        <v>Fitted</v>
      </c>
      <c r="M384" s="8" t="str">
        <f ca="1">IFERROR(__xludf.DUMMYFUNCTION("""COMPUTED_VALUE"""),"CCS 2/26D")</f>
        <v>CCS 2/26D</v>
      </c>
      <c r="N384" s="8" t="str">
        <f ca="1">IFERROR(__xludf.DUMMYFUNCTION("""COMPUTED_VALUE"""),"Fareast")</f>
        <v>Fareast</v>
      </c>
      <c r="O384" s="8" t="str">
        <f ca="1">IFERROR(__xludf.DUMMYFUNCTION("""COMPUTED_VALUE"""),"B.offers")</f>
        <v>B.offers</v>
      </c>
    </row>
    <row r="385" spans="1:15" ht="15.75" customHeight="1" x14ac:dyDescent="0.25">
      <c r="A385" s="8" t="str">
        <f ca="1">IFERROR(__xludf.DUMMYFUNCTION("""COMPUTED_VALUE"""),"TA 3807/06")</f>
        <v>TA 3807/06</v>
      </c>
      <c r="B385" s="8" t="str">
        <f ca="1">IFERROR(__xludf.DUMMYFUNCTION("""COMPUTED_VALUE"""),"Oil Products CPP Bunkering Tanker ")</f>
        <v xml:space="preserve">Oil Products CPP Bunkering Tanker </v>
      </c>
      <c r="C385" s="9">
        <f ca="1">IFERROR(__xludf.DUMMYFUNCTION("""COMPUTED_VALUE"""),3807)</f>
        <v>3807</v>
      </c>
      <c r="D385" s="8" t="str">
        <f ca="1">IFERROR(__xludf.DUMMYFUNCTION("""COMPUTED_VALUE"""),"2006-Holland")</f>
        <v>2006-Holland</v>
      </c>
      <c r="E385" s="8" t="str">
        <f ca="1">IFERROR(__xludf.DUMMYFUNCTION("""COMPUTED_VALUE"""),"83.40 x 12.96")</f>
        <v>83.40 x 12.96</v>
      </c>
      <c r="F385" s="8" t="str">
        <f ca="1">IFERROR(__xludf.DUMMYFUNCTION("""COMPUTED_VALUE"""),"9")</f>
        <v>9</v>
      </c>
      <c r="G385" s="8">
        <f ca="1">IFERROR(__xludf.DUMMYFUNCTION("""COMPUTED_VALUE"""),3469)</f>
        <v>3469</v>
      </c>
      <c r="H385" s="8" t="str">
        <f ca="1">IFERROR(__xludf.DUMMYFUNCTION("""COMPUTED_VALUE"""),"N/Y Zinc")</f>
        <v>N/Y Zinc</v>
      </c>
      <c r="I385" s="8" t="str">
        <f ca="1">IFERROR(__xludf.DUMMYFUNCTION("""COMPUTED_VALUE"""),"2 x 430 + 1 x 100")</f>
        <v>2 x 430 + 1 x 100</v>
      </c>
      <c r="J385" s="8" t="str">
        <f ca="1">IFERROR(__xludf.DUMMYFUNCTION("""COMPUTED_VALUE"""),"MAK")</f>
        <v>MAK</v>
      </c>
      <c r="K385" s="8" t="str">
        <f ca="1">IFERROR(__xludf.DUMMYFUNCTION("""COMPUTED_VALUE"""),"11 k")</f>
        <v>11 k</v>
      </c>
      <c r="L385" s="8" t="str">
        <f ca="1">IFERROR(__xludf.DUMMYFUNCTION("""COMPUTED_VALUE"""),"To be chkd")</f>
        <v>To be chkd</v>
      </c>
      <c r="M385" s="8" t="str">
        <f ca="1">IFERROR(__xludf.DUMMYFUNCTION("""COMPUTED_VALUE"""),"NV 3.26D")</f>
        <v>NV 3.26D</v>
      </c>
      <c r="N385" s="8" t="str">
        <f ca="1">IFERROR(__xludf.DUMMYFUNCTION("""COMPUTED_VALUE"""),"NWE/Denmark")</f>
        <v>NWE/Denmark</v>
      </c>
      <c r="O385" s="8" t="str">
        <f ca="1">IFERROR(__xludf.DUMMYFUNCTION("""COMPUTED_VALUE"""),"4.9-4.75m")</f>
        <v>4.9-4.75m</v>
      </c>
    </row>
    <row r="386" spans="1:15" ht="15.75" customHeight="1" x14ac:dyDescent="0.25">
      <c r="A386" s="8" t="str">
        <f ca="1">IFERROR(__xludf.DUMMYFUNCTION("""COMPUTED_VALUE"""),"TA 3794/83")</f>
        <v>TA 3794/83</v>
      </c>
      <c r="B386" s="8" t="str">
        <f ca="1">IFERROR(__xludf.DUMMYFUNCTION("""COMPUTED_VALUE"""),"Sea-river Lenaneft Prods Tanker")</f>
        <v>Sea-river Lenaneft Prods Tanker</v>
      </c>
      <c r="C386" s="9">
        <f ca="1">IFERROR(__xludf.DUMMYFUNCTION("""COMPUTED_VALUE"""),3794)</f>
        <v>3794</v>
      </c>
      <c r="D386" s="8" t="str">
        <f ca="1">IFERROR(__xludf.DUMMYFUNCTION("""COMPUTED_VALUE"""),"1983-Bulgaria")</f>
        <v>1983-Bulgaria</v>
      </c>
      <c r="E386" s="8" t="str">
        <f ca="1">IFERROR(__xludf.DUMMYFUNCTION("""COMPUTED_VALUE"""),"122.00 x 14.80")</f>
        <v>122.00 x 14.80</v>
      </c>
      <c r="F386" s="8" t="str">
        <f ca="1">IFERROR(__xludf.DUMMYFUNCTION("""COMPUTED_VALUE"""),"10")</f>
        <v>10</v>
      </c>
      <c r="G386" s="8">
        <f ca="1">IFERROR(__xludf.DUMMYFUNCTION("""COMPUTED_VALUE"""),3558)</f>
        <v>3558</v>
      </c>
      <c r="H386" s="8" t="str">
        <f ca="1">IFERROR(__xludf.DUMMYFUNCTION("""COMPUTED_VALUE"""),"N/Y Marineline")</f>
        <v>N/Y Marineline</v>
      </c>
      <c r="I386" s="8" t="str">
        <f ca="1">IFERROR(__xludf.DUMMYFUNCTION("""COMPUTED_VALUE"""),"2 x 250  + 2 x 53")</f>
        <v>2 x 250  + 2 x 53</v>
      </c>
      <c r="J386" s="8" t="str">
        <f ca="1">IFERROR(__xludf.DUMMYFUNCTION("""COMPUTED_VALUE"""),"2 SKL")</f>
        <v>2 SKL</v>
      </c>
      <c r="K386" s="8" t="str">
        <f ca="1">IFERROR(__xludf.DUMMYFUNCTION("""COMPUTED_VALUE"""),"12 kn")</f>
        <v>12 kn</v>
      </c>
      <c r="L386" s="8" t="str">
        <f ca="1">IFERROR(__xludf.DUMMYFUNCTION("""COMPUTED_VALUE"""),"No")</f>
        <v>No</v>
      </c>
      <c r="M386" s="8" t="str">
        <f ca="1">IFERROR(__xludf.DUMMYFUNCTION("""COMPUTED_VALUE"""),"RI 5/28D")</f>
        <v>RI 5/28D</v>
      </c>
      <c r="N386" s="8" t="str">
        <f ca="1">IFERROR(__xludf.DUMMYFUNCTION("""COMPUTED_VALUE"""),"Paraguay")</f>
        <v>Paraguay</v>
      </c>
      <c r="O386" s="8" t="str">
        <f ca="1">IFERROR(__xludf.DUMMYFUNCTION("""COMPUTED_VALUE"""),"1.8 m")</f>
        <v>1.8 m</v>
      </c>
    </row>
    <row r="387" spans="1:15" ht="15.75" customHeight="1" x14ac:dyDescent="0.25">
      <c r="A387" s="8" t="str">
        <f ca="1">IFERROR(__xludf.DUMMYFUNCTION("""COMPUTED_VALUE"""),"TA 3790/89")</f>
        <v>TA 3790/89</v>
      </c>
      <c r="B387" s="8" t="str">
        <f ca="1">IFERROR(__xludf.DUMMYFUNCTION("""COMPUTED_VALUE"""),"Sea-river Lenaneft Prods Tanker")</f>
        <v>Sea-river Lenaneft Prods Tanker</v>
      </c>
      <c r="C387" s="9">
        <f ca="1">IFERROR(__xludf.DUMMYFUNCTION("""COMPUTED_VALUE"""),3790)</f>
        <v>3790</v>
      </c>
      <c r="D387" s="8" t="str">
        <f ca="1">IFERROR(__xludf.DUMMYFUNCTION("""COMPUTED_VALUE"""),"1989-Bulgaria")</f>
        <v>1989-Bulgaria</v>
      </c>
      <c r="E387" s="8" t="str">
        <f ca="1">IFERROR(__xludf.DUMMYFUNCTION("""COMPUTED_VALUE"""),"122.30 x 14.80")</f>
        <v>122.30 x 14.80</v>
      </c>
      <c r="F387" s="8" t="str">
        <f ca="1">IFERROR(__xludf.DUMMYFUNCTION("""COMPUTED_VALUE"""),"10")</f>
        <v>10</v>
      </c>
      <c r="G387" s="8">
        <f ca="1">IFERROR(__xludf.DUMMYFUNCTION("""COMPUTED_VALUE"""),3626)</f>
        <v>3626</v>
      </c>
      <c r="H387" s="8" t="str">
        <f ca="1">IFERROR(__xludf.DUMMYFUNCTION("""COMPUTED_VALUE"""),"N/Y Hempelmarine")</f>
        <v>N/Y Hempelmarine</v>
      </c>
      <c r="I387" s="8" t="str">
        <f ca="1">IFERROR(__xludf.DUMMYFUNCTION("""COMPUTED_VALUE"""),"2 x 300+2 x 50 cbm/hr")</f>
        <v>2 x 300+2 x 50 cbm/hr</v>
      </c>
      <c r="J387" s="8" t="str">
        <f ca="1">IFERROR(__xludf.DUMMYFUNCTION("""COMPUTED_VALUE"""),"2 SKL (Twinscr)")</f>
        <v>2 SKL (Twinscr)</v>
      </c>
      <c r="K387" s="8" t="str">
        <f ca="1">IFERROR(__xludf.DUMMYFUNCTION("""COMPUTED_VALUE"""),"12 - 9 kn")</f>
        <v>12 - 9 kn</v>
      </c>
      <c r="L387" s="8" t="str">
        <f ca="1">IFERROR(__xludf.DUMMYFUNCTION("""COMPUTED_VALUE"""),"No")</f>
        <v>No</v>
      </c>
      <c r="M387" s="8" t="str">
        <f ca="1">IFERROR(__xludf.DUMMYFUNCTION("""COMPUTED_VALUE"""),"RI  12.27D")</f>
        <v>RI  12.27D</v>
      </c>
      <c r="N387" s="8" t="str">
        <f ca="1">IFERROR(__xludf.DUMMYFUNCTION("""COMPUTED_VALUE"""),"Paraguay")</f>
        <v>Paraguay</v>
      </c>
      <c r="O387" s="8" t="str">
        <f ca="1">IFERROR(__xludf.DUMMYFUNCTION("""COMPUTED_VALUE"""),"2.0 m")</f>
        <v>2.0 m</v>
      </c>
    </row>
    <row r="388" spans="1:15" ht="15.75" customHeight="1" x14ac:dyDescent="0.25">
      <c r="A388" s="8" t="str">
        <f ca="1">IFERROR(__xludf.DUMMYFUNCTION("""COMPUTED_VALUE"""),"TA 3778/97")</f>
        <v>TA 3778/97</v>
      </c>
      <c r="B388" s="8" t="str">
        <f ca="1">IFERROR(__xludf.DUMMYFUNCTION("""COMPUTED_VALUE"""),"Bunkering Tanker")</f>
        <v>Bunkering Tanker</v>
      </c>
      <c r="C388" s="9">
        <f ca="1">IFERROR(__xludf.DUMMYFUNCTION("""COMPUTED_VALUE"""),3778)</f>
        <v>3778</v>
      </c>
      <c r="D388" s="8" t="str">
        <f ca="1">IFERROR(__xludf.DUMMYFUNCTION("""COMPUTED_VALUE"""),"1997-Singapore")</f>
        <v>1997-Singapore</v>
      </c>
      <c r="E388" s="8" t="str">
        <f ca="1">IFERROR(__xludf.DUMMYFUNCTION("""COMPUTED_VALUE"""),"88.76 x 16.50")</f>
        <v>88.76 x 16.50</v>
      </c>
      <c r="F388" s="8" t="str">
        <f ca="1">IFERROR(__xludf.DUMMYFUNCTION("""COMPUTED_VALUE"""),"6")</f>
        <v>6</v>
      </c>
      <c r="G388" s="8">
        <f ca="1">IFERROR(__xludf.DUMMYFUNCTION("""COMPUTED_VALUE"""),4179)</f>
        <v>4179</v>
      </c>
      <c r="H388" s="8" t="str">
        <f ca="1">IFERROR(__xludf.DUMMYFUNCTION("""COMPUTED_VALUE"""),"N/Y Epoxy")</f>
        <v>N/Y Epoxy</v>
      </c>
      <c r="I388" s="8">
        <f ca="1">IFERROR(__xludf.DUMMYFUNCTION("""COMPUTED_VALUE"""),5)</f>
        <v>5</v>
      </c>
      <c r="J388" s="8" t="str">
        <f ca="1">IFERROR(__xludf.DUMMYFUNCTION("""COMPUTED_VALUE"""),"Normo")</f>
        <v>Normo</v>
      </c>
      <c r="K388" s="8" t="str">
        <f ca="1">IFERROR(__xludf.DUMMYFUNCTION("""COMPUTED_VALUE"""),"11.5 kn")</f>
        <v>11.5 kn</v>
      </c>
      <c r="L388" s="8" t="str">
        <f ca="1">IFERROR(__xludf.DUMMYFUNCTION("""COMPUTED_VALUE"""),"To be chkd")</f>
        <v>To be chkd</v>
      </c>
      <c r="M388" s="8" t="str">
        <f ca="1">IFERROR(__xludf.DUMMYFUNCTION("""COMPUTED_VALUE"""),"LR 12/25D")</f>
        <v>LR 12/25D</v>
      </c>
      <c r="N388" s="8" t="str">
        <f ca="1">IFERROR(__xludf.DUMMYFUNCTION("""COMPUTED_VALUE"""),"Check")</f>
        <v>Check</v>
      </c>
      <c r="O388" s="8" t="str">
        <f ca="1">IFERROR(__xludf.DUMMYFUNCTION("""COMPUTED_VALUE"""),"B.offers")</f>
        <v>B.offers</v>
      </c>
    </row>
    <row r="389" spans="1:15" ht="15.75" customHeight="1" x14ac:dyDescent="0.25">
      <c r="A389" s="8" t="str">
        <f ca="1">IFERROR(__xludf.DUMMYFUNCTION("""COMPUTED_VALUE"""),"TA 3763/91")</f>
        <v>TA 3763/91</v>
      </c>
      <c r="B389" s="8" t="str">
        <f ca="1">IFERROR(__xludf.DUMMYFUNCTION("""COMPUTED_VALUE"""),"Bitumen Tanker")</f>
        <v>Bitumen Tanker</v>
      </c>
      <c r="C389" s="9">
        <f ca="1">IFERROR(__xludf.DUMMYFUNCTION("""COMPUTED_VALUE"""),3763)</f>
        <v>3763</v>
      </c>
      <c r="D389" s="8" t="str">
        <f ca="1">IFERROR(__xludf.DUMMYFUNCTION("""COMPUTED_VALUE"""),"1991-Sgpore")</f>
        <v>1991-Sgpore</v>
      </c>
      <c r="E389" s="8" t="str">
        <f ca="1">IFERROR(__xludf.DUMMYFUNCTION("""COMPUTED_VALUE"""),"93.8 x 14.60")</f>
        <v>93.8 x 14.60</v>
      </c>
      <c r="F389" s="8" t="str">
        <f ca="1">IFERROR(__xludf.DUMMYFUNCTION("""COMPUTED_VALUE"""),"12")</f>
        <v>12</v>
      </c>
      <c r="G389" s="8" t="str">
        <f ca="1">IFERROR(__xludf.DUMMYFUNCTION("""COMPUTED_VALUE"""),"-")</f>
        <v>-</v>
      </c>
      <c r="H389" s="8" t="str">
        <f ca="1">IFERROR(__xludf.DUMMYFUNCTION("""COMPUTED_VALUE"""),"Y/Y Epoxy")</f>
        <v>Y/Y Epoxy</v>
      </c>
      <c r="I389" s="8" t="str">
        <f ca="1">IFERROR(__xludf.DUMMYFUNCTION("""COMPUTED_VALUE"""),"2 x 500")</f>
        <v>2 x 500</v>
      </c>
      <c r="J389" s="8" t="str">
        <f ca="1">IFERROR(__xludf.DUMMYFUNCTION("""COMPUTED_VALUE"""),"Stork")</f>
        <v>Stork</v>
      </c>
      <c r="K389" s="8" t="str">
        <f ca="1">IFERROR(__xludf.DUMMYFUNCTION("""COMPUTED_VALUE"""),"13 k")</f>
        <v>13 k</v>
      </c>
      <c r="L389" s="8" t="str">
        <f ca="1">IFERROR(__xludf.DUMMYFUNCTION("""COMPUTED_VALUE"""),"To be chkd")</f>
        <v>To be chkd</v>
      </c>
      <c r="M389" s="8" t="str">
        <f ca="1">IFERROR(__xludf.DUMMYFUNCTION("""COMPUTED_VALUE"""),"KR 8/26D")</f>
        <v>KR 8/26D</v>
      </c>
      <c r="N389" s="8" t="str">
        <f ca="1">IFERROR(__xludf.DUMMYFUNCTION("""COMPUTED_VALUE"""),"UAE")</f>
        <v>UAE</v>
      </c>
      <c r="O389" s="8" t="str">
        <f ca="1">IFERROR(__xludf.DUMMYFUNCTION("""COMPUTED_VALUE"""),"2.0 m")</f>
        <v>2.0 m</v>
      </c>
    </row>
    <row r="390" spans="1:15" ht="15.75" customHeight="1" x14ac:dyDescent="0.25">
      <c r="A390" s="8" t="str">
        <f ca="1">IFERROR(__xludf.DUMMYFUNCTION("""COMPUTED_VALUE"""),"TA 3709/10")</f>
        <v>TA 3709/10</v>
      </c>
      <c r="B390" s="8" t="str">
        <f ca="1">IFERROR(__xludf.DUMMYFUNCTION("""COMPUTED_VALUE"""),"StSt Chem.IMO 2/Ice B Tanker")</f>
        <v>StSt Chem.IMO 2/Ice B Tanker</v>
      </c>
      <c r="C390" s="9">
        <f ca="1">IFERROR(__xludf.DUMMYFUNCTION("""COMPUTED_VALUE"""),3709)</f>
        <v>3709</v>
      </c>
      <c r="D390" s="8" t="str">
        <f ca="1">IFERROR(__xludf.DUMMYFUNCTION("""COMPUTED_VALUE"""),"2010-China")</f>
        <v>2010-China</v>
      </c>
      <c r="E390" s="8" t="str">
        <f ca="1">IFERROR(__xludf.DUMMYFUNCTION("""COMPUTED_VALUE"""),"95.8 x 14.60")</f>
        <v>95.8 x 14.60</v>
      </c>
      <c r="F390" s="8" t="str">
        <f ca="1">IFERROR(__xludf.DUMMYFUNCTION("""COMPUTED_VALUE"""),"12")</f>
        <v>12</v>
      </c>
      <c r="G390" s="8">
        <f ca="1">IFERROR(__xludf.DUMMYFUNCTION("""COMPUTED_VALUE"""),4054)</f>
        <v>4054</v>
      </c>
      <c r="H390" s="8" t="str">
        <f ca="1">IFERROR(__xludf.DUMMYFUNCTION("""COMPUTED_VALUE"""),"Y/Y StSt")</f>
        <v>Y/Y StSt</v>
      </c>
      <c r="I390" s="8" t="str">
        <f ca="1">IFERROR(__xludf.DUMMYFUNCTION("""COMPUTED_VALUE"""),"2 x 450")</f>
        <v>2 x 450</v>
      </c>
      <c r="J390" s="8" t="str">
        <f ca="1">IFERROR(__xludf.DUMMYFUNCTION("""COMPUTED_VALUE"""),"Guangzhou")</f>
        <v>Guangzhou</v>
      </c>
      <c r="K390" s="8" t="str">
        <f ca="1">IFERROR(__xludf.DUMMYFUNCTION("""COMPUTED_VALUE"""),"10k/5 t IFO")</f>
        <v>10k/5 t IFO</v>
      </c>
      <c r="L390" s="8" t="str">
        <f ca="1">IFERROR(__xludf.DUMMYFUNCTION("""COMPUTED_VALUE"""),"To be chkd")</f>
        <v>To be chkd</v>
      </c>
      <c r="M390" s="8" t="str">
        <f ca="1">IFERROR(__xludf.DUMMYFUNCTION("""COMPUTED_VALUE"""),"CCS 11/25D")</f>
        <v>CCS 11/25D</v>
      </c>
      <c r="N390" s="8" t="str">
        <f ca="1">IFERROR(__xludf.DUMMYFUNCTION("""COMPUTED_VALUE"""),"China")</f>
        <v>China</v>
      </c>
      <c r="O390" s="8" t="str">
        <f ca="1">IFERROR(__xludf.DUMMYFUNCTION("""COMPUTED_VALUE"""),"B.offers")</f>
        <v>B.offers</v>
      </c>
    </row>
    <row r="391" spans="1:15" ht="15.75" customHeight="1" x14ac:dyDescent="0.25">
      <c r="A391" s="8" t="str">
        <f ca="1">IFERROR(__xludf.DUMMYFUNCTION("""COMPUTED_VALUE"""),"TA 3638/07")</f>
        <v>TA 3638/07</v>
      </c>
      <c r="B391" s="8" t="str">
        <f ca="1">IFERROR(__xludf.DUMMYFUNCTION("""COMPUTED_VALUE"""),"Bitumen Tanker")</f>
        <v>Bitumen Tanker</v>
      </c>
      <c r="C391" s="9">
        <f ca="1">IFERROR(__xludf.DUMMYFUNCTION("""COMPUTED_VALUE"""),3638)</f>
        <v>3638</v>
      </c>
      <c r="D391" s="8" t="str">
        <f ca="1">IFERROR(__xludf.DUMMYFUNCTION("""COMPUTED_VALUE"""),"2007-Japan")</f>
        <v>2007-Japan</v>
      </c>
      <c r="E391" s="8" t="str">
        <f ca="1">IFERROR(__xludf.DUMMYFUNCTION("""COMPUTED_VALUE"""),"96.5 x 16.50")</f>
        <v>96.5 x 16.50</v>
      </c>
      <c r="F391" s="8" t="str">
        <f ca="1">IFERROR(__xludf.DUMMYFUNCTION("""COMPUTED_VALUE"""),"8")</f>
        <v>8</v>
      </c>
      <c r="G391" s="8">
        <f ca="1">IFERROR(__xludf.DUMMYFUNCTION("""COMPUTED_VALUE"""),3691)</f>
        <v>3691</v>
      </c>
      <c r="H391" s="8" t="str">
        <f ca="1">IFERROR(__xludf.DUMMYFUNCTION("""COMPUTED_VALUE"""),"Y/N")</f>
        <v>Y/N</v>
      </c>
      <c r="I391" s="8" t="str">
        <f ca="1">IFERROR(__xludf.DUMMYFUNCTION("""COMPUTED_VALUE"""),"-")</f>
        <v>-</v>
      </c>
      <c r="J391" s="8" t="str">
        <f ca="1">IFERROR(__xludf.DUMMYFUNCTION("""COMPUTED_VALUE"""),"Daihatsu")</f>
        <v>Daihatsu</v>
      </c>
      <c r="K391" s="8" t="str">
        <f ca="1">IFERROR(__xludf.DUMMYFUNCTION("""COMPUTED_VALUE"""),"-")</f>
        <v>-</v>
      </c>
      <c r="L391" s="8" t="str">
        <f ca="1">IFERROR(__xludf.DUMMYFUNCTION("""COMPUTED_VALUE"""),"To be chkd")</f>
        <v>To be chkd</v>
      </c>
      <c r="M391" s="8" t="str">
        <f ca="1">IFERROR(__xludf.DUMMYFUNCTION("""COMPUTED_VALUE"""),"NK 4/27D")</f>
        <v>NK 4/27D</v>
      </c>
      <c r="N391" s="8" t="str">
        <f ca="1">IFERROR(__xludf.DUMMYFUNCTION("""COMPUTED_VALUE"""),"Fareast")</f>
        <v>Fareast</v>
      </c>
      <c r="O391" s="8" t="str">
        <f ca="1">IFERROR(__xludf.DUMMYFUNCTION("""COMPUTED_VALUE"""),"B.offers")</f>
        <v>B.offers</v>
      </c>
    </row>
    <row r="392" spans="1:15" ht="15.75" customHeight="1" x14ac:dyDescent="0.25">
      <c r="A392" s="8" t="str">
        <f ca="1">IFERROR(__xludf.DUMMYFUNCTION("""COMPUTED_VALUE"""),"TA 3620/06")</f>
        <v>TA 3620/06</v>
      </c>
      <c r="B392" s="8" t="str">
        <f ca="1">IFERROR(__xludf.DUMMYFUNCTION("""COMPUTED_VALUE"""),"Products Tanker")</f>
        <v>Products Tanker</v>
      </c>
      <c r="C392" s="9">
        <f ca="1">IFERROR(__xludf.DUMMYFUNCTION("""COMPUTED_VALUE"""),3620)</f>
        <v>3620</v>
      </c>
      <c r="D392" s="8" t="str">
        <f ca="1">IFERROR(__xludf.DUMMYFUNCTION("""COMPUTED_VALUE"""),"2006-Japan")</f>
        <v>2006-Japan</v>
      </c>
      <c r="E392" s="8" t="str">
        <f ca="1">IFERROR(__xludf.DUMMYFUNCTION("""COMPUTED_VALUE"""),"90.04 x 14.70")</f>
        <v>90.04 x 14.70</v>
      </c>
      <c r="F392" s="8" t="str">
        <f ca="1">IFERROR(__xludf.DUMMYFUNCTION("""COMPUTED_VALUE"""),"8 ")</f>
        <v xml:space="preserve">8 </v>
      </c>
      <c r="G392" s="8">
        <f ca="1">IFERROR(__xludf.DUMMYFUNCTION("""COMPUTED_VALUE"""),3742)</f>
        <v>3742</v>
      </c>
      <c r="H392" s="8" t="str">
        <f ca="1">IFERROR(__xludf.DUMMYFUNCTION("""COMPUTED_VALUE"""),"Y stst/Y Epoxy")</f>
        <v>Y stst/Y Epoxy</v>
      </c>
      <c r="I392" s="8" t="str">
        <f ca="1">IFERROR(__xludf.DUMMYFUNCTION("""COMPUTED_VALUE"""),"2x600+1x100")</f>
        <v>2x600+1x100</v>
      </c>
      <c r="J392" s="8" t="str">
        <f ca="1">IFERROR(__xludf.DUMMYFUNCTION("""COMPUTED_VALUE"""),"Hanshin")</f>
        <v>Hanshin</v>
      </c>
      <c r="K392" s="8" t="str">
        <f ca="1">IFERROR(__xludf.DUMMYFUNCTION("""COMPUTED_VALUE"""),"-")</f>
        <v>-</v>
      </c>
      <c r="L392" s="8" t="str">
        <f ca="1">IFERROR(__xludf.DUMMYFUNCTION("""COMPUTED_VALUE"""),"To be chkd")</f>
        <v>To be chkd</v>
      </c>
      <c r="M392" s="8" t="str">
        <f ca="1">IFERROR(__xludf.DUMMYFUNCTION("""COMPUTED_VALUE"""),"KR 8/26D")</f>
        <v>KR 8/26D</v>
      </c>
      <c r="N392" s="8" t="str">
        <f ca="1">IFERROR(__xludf.DUMMYFUNCTION("""COMPUTED_VALUE"""),"Busan, KR")</f>
        <v>Busan, KR</v>
      </c>
      <c r="O392" s="8" t="str">
        <f ca="1">IFERROR(__xludf.DUMMYFUNCTION("""COMPUTED_VALUE"""),"5.1-4.9 m")</f>
        <v>5.1-4.9 m</v>
      </c>
    </row>
    <row r="393" spans="1:15" ht="15.75" customHeight="1" x14ac:dyDescent="0.25">
      <c r="A393" s="8" t="str">
        <f ca="1">IFERROR(__xludf.DUMMYFUNCTION("""COMPUTED_VALUE"""),"TA 3600/95")</f>
        <v>TA 3600/95</v>
      </c>
      <c r="B393" s="8" t="str">
        <f ca="1">IFERROR(__xludf.DUMMYFUNCTION("""COMPUTED_VALUE"""),"Sea-River Shallow Prods Tk")</f>
        <v>Sea-River Shallow Prods Tk</v>
      </c>
      <c r="C393" s="9">
        <f ca="1">IFERROR(__xludf.DUMMYFUNCTION("""COMPUTED_VALUE"""),3600)</f>
        <v>3600</v>
      </c>
      <c r="D393" s="8" t="str">
        <f ca="1">IFERROR(__xludf.DUMMYFUNCTION("""COMPUTED_VALUE"""),"1995-Bulgaria")</f>
        <v>1995-Bulgaria</v>
      </c>
      <c r="E393" s="8" t="str">
        <f ca="1">IFERROR(__xludf.DUMMYFUNCTION("""COMPUTED_VALUE"""),"123.0 x 15.30")</f>
        <v>123.0 x 15.30</v>
      </c>
      <c r="F393" s="8" t="str">
        <f ca="1">IFERROR(__xludf.DUMMYFUNCTION("""COMPUTED_VALUE"""),"10")</f>
        <v>10</v>
      </c>
      <c r="G393" s="8" t="str">
        <f ca="1">IFERROR(__xludf.DUMMYFUNCTION("""COMPUTED_VALUE"""),"3355 t")</f>
        <v>3355 t</v>
      </c>
      <c r="H393" s="8" t="str">
        <f ca="1">IFERROR(__xludf.DUMMYFUNCTION("""COMPUTED_VALUE"""),"Yes/Y Epoxy")</f>
        <v>Yes/Y Epoxy</v>
      </c>
      <c r="I393" s="8">
        <f ca="1">IFERROR(__xludf.DUMMYFUNCTION("""COMPUTED_VALUE"""),2)</f>
        <v>2</v>
      </c>
      <c r="J393" s="8" t="str">
        <f ca="1">IFERROR(__xludf.DUMMYFUNCTION("""COMPUTED_VALUE"""),"2 SKL")</f>
        <v>2 SKL</v>
      </c>
      <c r="K393" s="8" t="str">
        <f ca="1">IFERROR(__xludf.DUMMYFUNCTION("""COMPUTED_VALUE"""),"10 kn")</f>
        <v>10 kn</v>
      </c>
      <c r="L393" s="8" t="str">
        <f ca="1">IFERROR(__xludf.DUMMYFUNCTION("""COMPUTED_VALUE"""),"To be chkd")</f>
        <v>To be chkd</v>
      </c>
      <c r="M393" s="8" t="str">
        <f ca="1">IFERROR(__xludf.DUMMYFUNCTION("""COMPUTED_VALUE"""),"MRS 11.24D")</f>
        <v>MRS 11.24D</v>
      </c>
      <c r="N393" s="8" t="str">
        <f ca="1">IFERROR(__xludf.DUMMYFUNCTION("""COMPUTED_VALUE"""),"Black Sea")</f>
        <v>Black Sea</v>
      </c>
      <c r="O393" s="8" t="str">
        <f ca="1">IFERROR(__xludf.DUMMYFUNCTION("""COMPUTED_VALUE"""),"B.offers")</f>
        <v>B.offers</v>
      </c>
    </row>
    <row r="394" spans="1:15" ht="15.75" customHeight="1" x14ac:dyDescent="0.25">
      <c r="A394" s="8" t="str">
        <f ca="1">IFERROR(__xludf.DUMMYFUNCTION("""COMPUTED_VALUE"""),"TA 3592/13")</f>
        <v>TA 3592/13</v>
      </c>
      <c r="B394" s="8" t="str">
        <f ca="1">IFERROR(__xludf.DUMMYFUNCTION("""COMPUTED_VALUE"""),"Oil/Product Bunkering Tanker")</f>
        <v>Oil/Product Bunkering Tanker</v>
      </c>
      <c r="C394" s="9">
        <f ca="1">IFERROR(__xludf.DUMMYFUNCTION("""COMPUTED_VALUE"""),3592)</f>
        <v>3592</v>
      </c>
      <c r="D394" s="8" t="str">
        <f ca="1">IFERROR(__xludf.DUMMYFUNCTION("""COMPUTED_VALUE"""),"2013-Thailand")</f>
        <v>2013-Thailand</v>
      </c>
      <c r="E394" s="8" t="str">
        <f ca="1">IFERROR(__xludf.DUMMYFUNCTION("""COMPUTED_VALUE"""),"90.46 x 15.00")</f>
        <v>90.46 x 15.00</v>
      </c>
      <c r="F394" s="8" t="str">
        <f ca="1">IFERROR(__xludf.DUMMYFUNCTION("""COMPUTED_VALUE"""),"10")</f>
        <v>10</v>
      </c>
      <c r="G394" s="8">
        <f ca="1">IFERROR(__xludf.DUMMYFUNCTION("""COMPUTED_VALUE"""),3523)</f>
        <v>3523</v>
      </c>
      <c r="H394" s="8" t="str">
        <f ca="1">IFERROR(__xludf.DUMMYFUNCTION("""COMPUTED_VALUE"""),"N/N")</f>
        <v>N/N</v>
      </c>
      <c r="I394" s="8" t="str">
        <f ca="1">IFERROR(__xludf.DUMMYFUNCTION("""COMPUTED_VALUE"""),"-")</f>
        <v>-</v>
      </c>
      <c r="J394" s="8" t="str">
        <f ca="1">IFERROR(__xludf.DUMMYFUNCTION("""COMPUTED_VALUE"""),"Yanmar")</f>
        <v>Yanmar</v>
      </c>
      <c r="K394" s="8" t="str">
        <f ca="1">IFERROR(__xludf.DUMMYFUNCTION("""COMPUTED_VALUE"""),"11 kn")</f>
        <v>11 kn</v>
      </c>
      <c r="L394" s="8" t="str">
        <f ca="1">IFERROR(__xludf.DUMMYFUNCTION("""COMPUTED_VALUE"""),"To be chkd")</f>
        <v>To be chkd</v>
      </c>
      <c r="M394" s="8" t="str">
        <f ca="1">IFERROR(__xludf.DUMMYFUNCTION("""COMPUTED_VALUE"""),"MBA ex NK")</f>
        <v>MBA ex NK</v>
      </c>
      <c r="N394" s="10" t="str">
        <f ca="1">IFERROR(__xludf.DUMMYFUNCTION("""COMPUTED_VALUE"""),"SE.Asia")</f>
        <v>SE.Asia</v>
      </c>
      <c r="O394" s="8" t="str">
        <f ca="1">IFERROR(__xludf.DUMMYFUNCTION("""COMPUTED_VALUE"""),"B.offers")</f>
        <v>B.offers</v>
      </c>
    </row>
    <row r="395" spans="1:15" ht="15.75" customHeight="1" x14ac:dyDescent="0.25">
      <c r="A395" s="8" t="str">
        <f ca="1">IFERROR(__xludf.DUMMYFUNCTION("""COMPUTED_VALUE"""),"TA 3522/05")</f>
        <v>TA 3522/05</v>
      </c>
      <c r="B395" s="8" t="str">
        <f ca="1">IFERROR(__xludf.DUMMYFUNCTION("""COMPUTED_VALUE"""),"Bunkering/Prods IMO 2/Ice")</f>
        <v>Bunkering/Prods IMO 2/Ice</v>
      </c>
      <c r="C395" s="9">
        <f ca="1">IFERROR(__xludf.DUMMYFUNCTION("""COMPUTED_VALUE"""),3522)</f>
        <v>3522</v>
      </c>
      <c r="D395" s="8" t="str">
        <f ca="1">IFERROR(__xludf.DUMMYFUNCTION("""COMPUTED_VALUE"""),"2005-Turkey")</f>
        <v>2005-Turkey</v>
      </c>
      <c r="E395" s="8" t="str">
        <f ca="1">IFERROR(__xludf.DUMMYFUNCTION("""COMPUTED_VALUE"""),"90.50 x 14.60")</f>
        <v>90.50 x 14.60</v>
      </c>
      <c r="F395" s="8" t="str">
        <f ca="1">IFERROR(__xludf.DUMMYFUNCTION("""COMPUTED_VALUE"""),"10")</f>
        <v>10</v>
      </c>
      <c r="G395" s="8">
        <f ca="1">IFERROR(__xludf.DUMMYFUNCTION("""COMPUTED_VALUE"""),3522)</f>
        <v>3522</v>
      </c>
      <c r="H395" s="8" t="str">
        <f ca="1">IFERROR(__xludf.DUMMYFUNCTION("""COMPUTED_VALUE"""),"Y stst/Y Phen.Epo")</f>
        <v>Y stst/Y Phen.Epo</v>
      </c>
      <c r="I395" s="8" t="str">
        <f ca="1">IFERROR(__xludf.DUMMYFUNCTION("""COMPUTED_VALUE"""),"10 x 150")</f>
        <v>10 x 150</v>
      </c>
      <c r="J395" s="8" t="str">
        <f ca="1">IFERROR(__xludf.DUMMYFUNCTION("""COMPUTED_VALUE"""),"2 MAN")</f>
        <v>2 MAN</v>
      </c>
      <c r="K395" s="8" t="str">
        <f ca="1">IFERROR(__xludf.DUMMYFUNCTION("""COMPUTED_VALUE"""),"-")</f>
        <v>-</v>
      </c>
      <c r="L395" s="8" t="str">
        <f ca="1">IFERROR(__xludf.DUMMYFUNCTION("""COMPUTED_VALUE"""),"No")</f>
        <v>No</v>
      </c>
      <c r="M395" s="8" t="str">
        <f ca="1">IFERROR(__xludf.DUMMYFUNCTION("""COMPUTED_VALUE"""),"NV 12/20P")</f>
        <v>NV 12/20P</v>
      </c>
      <c r="N395" s="8" t="str">
        <f ca="1">IFERROR(__xludf.DUMMYFUNCTION("""COMPUTED_VALUE"""),"Barcelona")</f>
        <v>Barcelona</v>
      </c>
      <c r="O395" s="8" t="str">
        <f ca="1">IFERROR(__xludf.DUMMYFUNCTION("""COMPUTED_VALUE"""),"6.0 m")</f>
        <v>6.0 m</v>
      </c>
    </row>
    <row r="396" spans="1:15" ht="15.75" customHeight="1" x14ac:dyDescent="0.25">
      <c r="A396" s="8" t="str">
        <f ca="1">IFERROR(__xludf.DUMMYFUNCTION("""COMPUTED_VALUE"""),"TA 3502/04")</f>
        <v>TA 3502/04</v>
      </c>
      <c r="B396" s="8" t="str">
        <f ca="1">IFERROR(__xludf.DUMMYFUNCTION("""COMPUTED_VALUE"""),"Oil/Chemical Bunkering Tanker")</f>
        <v>Oil/Chemical Bunkering Tanker</v>
      </c>
      <c r="C396" s="9">
        <f ca="1">IFERROR(__xludf.DUMMYFUNCTION("""COMPUTED_VALUE"""),3502)</f>
        <v>3502</v>
      </c>
      <c r="D396" s="8" t="str">
        <f ca="1">IFERROR(__xludf.DUMMYFUNCTION("""COMPUTED_VALUE"""),"2004-Turkey")</f>
        <v>2004-Turkey</v>
      </c>
      <c r="E396" s="8" t="str">
        <f ca="1">IFERROR(__xludf.DUMMYFUNCTION("""COMPUTED_VALUE"""),"92.86 x 14.12")</f>
        <v>92.86 x 14.12</v>
      </c>
      <c r="F396" s="8" t="str">
        <f ca="1">IFERROR(__xludf.DUMMYFUNCTION("""COMPUTED_VALUE"""),"10")</f>
        <v>10</v>
      </c>
      <c r="G396" s="8">
        <f ca="1">IFERROR(__xludf.DUMMYFUNCTION("""COMPUTED_VALUE"""),3970)</f>
        <v>3970</v>
      </c>
      <c r="H396" s="8" t="str">
        <f ca="1">IFERROR(__xludf.DUMMYFUNCTION("""COMPUTED_VALUE"""),"Y stst/Y Epoxy")</f>
        <v>Y stst/Y Epoxy</v>
      </c>
      <c r="I396" s="8" t="str">
        <f ca="1">IFERROR(__xludf.DUMMYFUNCTION("""COMPUTED_VALUE"""),"10 x 158 + 1 x 60 ")</f>
        <v xml:space="preserve">10 x 158 + 1 x 60 </v>
      </c>
      <c r="J396" s="8" t="str">
        <f ca="1">IFERROR(__xludf.DUMMYFUNCTION("""COMPUTED_VALUE"""),"MAK")</f>
        <v>MAK</v>
      </c>
      <c r="K396" s="8" t="str">
        <f ca="1">IFERROR(__xludf.DUMMYFUNCTION("""COMPUTED_VALUE"""),"-")</f>
        <v>-</v>
      </c>
      <c r="L396" s="8" t="str">
        <f ca="1">IFERROR(__xludf.DUMMYFUNCTION("""COMPUTED_VALUE"""),"To be chkd")</f>
        <v>To be chkd</v>
      </c>
      <c r="M396" s="8" t="str">
        <f ca="1">IFERROR(__xludf.DUMMYFUNCTION("""COMPUTED_VALUE"""),"BV 12/29D")</f>
        <v>BV 12/29D</v>
      </c>
      <c r="N396" s="8" t="str">
        <f ca="1">IFERROR(__xludf.DUMMYFUNCTION("""COMPUTED_VALUE"""),"Baltic/Continent")</f>
        <v>Baltic/Continent</v>
      </c>
      <c r="O396" s="8" t="str">
        <f ca="1">IFERROR(__xludf.DUMMYFUNCTION("""COMPUTED_VALUE"""),"E 4.65m")</f>
        <v>E 4.65m</v>
      </c>
    </row>
    <row r="397" spans="1:15" ht="15.75" customHeight="1" x14ac:dyDescent="0.25">
      <c r="A397" s="8" t="str">
        <f ca="1">IFERROR(__xludf.DUMMYFUNCTION("""COMPUTED_VALUE"""),"TA 3500/24")</f>
        <v>TA 3500/24</v>
      </c>
      <c r="B397" s="8" t="str">
        <f ca="1">IFERROR(__xludf.DUMMYFUNCTION("""COMPUTED_VALUE"""),"Bunkering Tanker")</f>
        <v>Bunkering Tanker</v>
      </c>
      <c r="C397" s="9">
        <f ca="1">IFERROR(__xludf.DUMMYFUNCTION("""COMPUTED_VALUE"""),3500)</f>
        <v>3500</v>
      </c>
      <c r="D397" s="8" t="str">
        <f ca="1">IFERROR(__xludf.DUMMYFUNCTION("""COMPUTED_VALUE"""),"2024-China")</f>
        <v>2024-China</v>
      </c>
      <c r="E397" s="8" t="str">
        <f ca="1">IFERROR(__xludf.DUMMYFUNCTION("""COMPUTED_VALUE"""),"90.50 x 15.40")</f>
        <v>90.50 x 15.40</v>
      </c>
      <c r="F397" s="8" t="str">
        <f ca="1">IFERROR(__xludf.DUMMYFUNCTION("""COMPUTED_VALUE"""),"8")</f>
        <v>8</v>
      </c>
      <c r="G397" s="8">
        <f ca="1">IFERROR(__xludf.DUMMYFUNCTION("""COMPUTED_VALUE"""),4100)</f>
        <v>4100</v>
      </c>
      <c r="H397" s="8" t="str">
        <f ca="1">IFERROR(__xludf.DUMMYFUNCTION("""COMPUTED_VALUE"""),"Y/?")</f>
        <v>Y/?</v>
      </c>
      <c r="I397" s="8" t="str">
        <f ca="1">IFERROR(__xludf.DUMMYFUNCTION("""COMPUTED_VALUE"""),"1x750+1x110")</f>
        <v>1x750+1x110</v>
      </c>
      <c r="J397" s="8" t="str">
        <f ca="1">IFERROR(__xludf.DUMMYFUNCTION("""COMPUTED_VALUE"""),"Daihatsu")</f>
        <v>Daihatsu</v>
      </c>
      <c r="K397" s="8" t="str">
        <f ca="1">IFERROR(__xludf.DUMMYFUNCTION("""COMPUTED_VALUE"""),"-")</f>
        <v>-</v>
      </c>
      <c r="L397" s="8" t="str">
        <f ca="1">IFERROR(__xludf.DUMMYFUNCTION("""COMPUTED_VALUE"""),"To be chkd")</f>
        <v>To be chkd</v>
      </c>
      <c r="M397" s="8" t="str">
        <f ca="1">IFERROR(__xludf.DUMMYFUNCTION("""COMPUTED_VALUE"""),"ABS Class")</f>
        <v>ABS Class</v>
      </c>
      <c r="N397" s="8" t="str">
        <f ca="1">IFERROR(__xludf.DUMMYFUNCTION("""COMPUTED_VALUE"""),"China")</f>
        <v>China</v>
      </c>
      <c r="O397" s="8" t="str">
        <f ca="1">IFERROR(__xludf.DUMMYFUNCTION("""COMPUTED_VALUE"""),"7-6.6 m")</f>
        <v>7-6.6 m</v>
      </c>
    </row>
    <row r="398" spans="1:15" ht="15.75" customHeight="1" x14ac:dyDescent="0.25">
      <c r="A398" s="8" t="str">
        <f ca="1">IFERROR(__xludf.DUMMYFUNCTION("""COMPUTED_VALUE"""),"TA 3500/94")</f>
        <v>TA 3500/94</v>
      </c>
      <c r="B398" s="8" t="str">
        <f ca="1">IFERROR(__xludf.DUMMYFUNCTION("""COMPUTED_VALUE"""),"Oil/Chemical Tanker")</f>
        <v>Oil/Chemical Tanker</v>
      </c>
      <c r="C398" s="9">
        <f ca="1">IFERROR(__xludf.DUMMYFUNCTION("""COMPUTED_VALUE"""),3500)</f>
        <v>3500</v>
      </c>
      <c r="D398" s="8" t="str">
        <f ca="1">IFERROR(__xludf.DUMMYFUNCTION("""COMPUTED_VALUE"""),"1994-Korea")</f>
        <v>1994-Korea</v>
      </c>
      <c r="E398" s="8" t="str">
        <f ca="1">IFERROR(__xludf.DUMMYFUNCTION("""COMPUTED_VALUE"""),"85.30 x 14.00")</f>
        <v>85.30 x 14.00</v>
      </c>
      <c r="F398" s="8" t="str">
        <f ca="1">IFERROR(__xludf.DUMMYFUNCTION("""COMPUTED_VALUE"""),"10")</f>
        <v>10</v>
      </c>
      <c r="G398" s="8">
        <f ca="1">IFERROR(__xludf.DUMMYFUNCTION("""COMPUTED_VALUE"""),3927)</f>
        <v>3927</v>
      </c>
      <c r="H398" s="8" t="str">
        <f ca="1">IFERROR(__xludf.DUMMYFUNCTION("""COMPUTED_VALUE"""),"Y stst/Zinc coat")</f>
        <v>Y stst/Zinc coat</v>
      </c>
      <c r="I398" s="8" t="str">
        <f ca="1">IFERROR(__xludf.DUMMYFUNCTION("""COMPUTED_VALUE"""),"2 x 400")</f>
        <v>2 x 400</v>
      </c>
      <c r="J398" s="8" t="str">
        <f ca="1">IFERROR(__xludf.DUMMYFUNCTION("""COMPUTED_VALUE"""),"Akasaka")</f>
        <v>Akasaka</v>
      </c>
      <c r="K398" s="8" t="str">
        <f ca="1">IFERROR(__xludf.DUMMYFUNCTION("""COMPUTED_VALUE"""),"12k/6.5 t")</f>
        <v>12k/6.5 t</v>
      </c>
      <c r="L398" s="8" t="str">
        <f ca="1">IFERROR(__xludf.DUMMYFUNCTION("""COMPUTED_VALUE"""),"To be chkd")</f>
        <v>To be chkd</v>
      </c>
      <c r="M398" s="8" t="str">
        <f ca="1">IFERROR(__xludf.DUMMYFUNCTION("""COMPUTED_VALUE"""),"KR 6/26D")</f>
        <v>KR 6/26D</v>
      </c>
      <c r="N398" s="8" t="str">
        <f ca="1">IFERROR(__xludf.DUMMYFUNCTION("""COMPUTED_VALUE"""),"Indonesia")</f>
        <v>Indonesia</v>
      </c>
      <c r="O398" s="8" t="str">
        <f ca="1">IFERROR(__xludf.DUMMYFUNCTION("""COMPUTED_VALUE"""),"B.offers")</f>
        <v>B.offers</v>
      </c>
    </row>
    <row r="399" spans="1:15" ht="15.75" customHeight="1" x14ac:dyDescent="0.25">
      <c r="A399" s="8" t="str">
        <f ca="1">IFERROR(__xludf.DUMMYFUNCTION("""COMPUTED_VALUE"""),"TA 3499/16A")</f>
        <v>TA 3499/16A</v>
      </c>
      <c r="B399" s="8" t="str">
        <f ca="1">IFERROR(__xludf.DUMMYFUNCTION("""COMPUTED_VALUE"""),"St.St. Prod/Chem IMO 2 Tk")</f>
        <v>St.St. Prod/Chem IMO 2 Tk</v>
      </c>
      <c r="C399" s="9">
        <f ca="1">IFERROR(__xludf.DUMMYFUNCTION("""COMPUTED_VALUE"""),3499)</f>
        <v>3499</v>
      </c>
      <c r="D399" s="8" t="str">
        <f ca="1">IFERROR(__xludf.DUMMYFUNCTION("""COMPUTED_VALUE"""),"2016-Korea")</f>
        <v>2016-Korea</v>
      </c>
      <c r="E399" s="8" t="str">
        <f ca="1">IFERROR(__xludf.DUMMYFUNCTION("""COMPUTED_VALUE"""),"89.96 x 14.40")</f>
        <v>89.96 x 14.40</v>
      </c>
      <c r="F399" s="8" t="str">
        <f ca="1">IFERROR(__xludf.DUMMYFUNCTION("""COMPUTED_VALUE"""),"9")</f>
        <v>9</v>
      </c>
      <c r="G399" s="8">
        <f ca="1">IFERROR(__xludf.DUMMYFUNCTION("""COMPUTED_VALUE"""),4009)</f>
        <v>4009</v>
      </c>
      <c r="H399" s="8" t="str">
        <f ca="1">IFERROR(__xludf.DUMMYFUNCTION("""COMPUTED_VALUE"""),"Yes stst/Y stst")</f>
        <v>Yes stst/Y stst</v>
      </c>
      <c r="I399" s="8" t="str">
        <f ca="1">IFERROR(__xludf.DUMMYFUNCTION("""COMPUTED_VALUE"""),"9 x 200")</f>
        <v>9 x 200</v>
      </c>
      <c r="J399" s="8" t="str">
        <f ca="1">IFERROR(__xludf.DUMMYFUNCTION("""COMPUTED_VALUE"""),"Hanshin")</f>
        <v>Hanshin</v>
      </c>
      <c r="K399" s="8" t="str">
        <f ca="1">IFERROR(__xludf.DUMMYFUNCTION("""COMPUTED_VALUE"""),"13k/8.9 t")</f>
        <v>13k/8.9 t</v>
      </c>
      <c r="L399" s="8" t="str">
        <f ca="1">IFERROR(__xludf.DUMMYFUNCTION("""COMPUTED_VALUE"""),"To be chkd")</f>
        <v>To be chkd</v>
      </c>
      <c r="M399" s="8" t="str">
        <f ca="1">IFERROR(__xludf.DUMMYFUNCTION("""COMPUTED_VALUE"""),"KR 4.28D")</f>
        <v>KR 4.28D</v>
      </c>
      <c r="N399" s="8" t="str">
        <f ca="1">IFERROR(__xludf.DUMMYFUNCTION("""COMPUTED_VALUE"""),"Fareast")</f>
        <v>Fareast</v>
      </c>
      <c r="O399" s="8" t="str">
        <f ca="1">IFERROR(__xludf.DUMMYFUNCTION("""COMPUTED_VALUE"""),"15-14.5 m")</f>
        <v>15-14.5 m</v>
      </c>
    </row>
    <row r="400" spans="1:15" ht="15.75" customHeight="1" x14ac:dyDescent="0.25">
      <c r="A400" s="8" t="str">
        <f ca="1">IFERROR(__xludf.DUMMYFUNCTION("""COMPUTED_VALUE"""),"TA 3499/16B")</f>
        <v>TA 3499/16B</v>
      </c>
      <c r="B400" s="8" t="str">
        <f ca="1">IFERROR(__xludf.DUMMYFUNCTION("""COMPUTED_VALUE"""),"St.St. Prod/Chem IMO 2 Tk")</f>
        <v>St.St. Prod/Chem IMO 2 Tk</v>
      </c>
      <c r="C400" s="9">
        <f ca="1">IFERROR(__xludf.DUMMYFUNCTION("""COMPUTED_VALUE"""),3499)</f>
        <v>3499</v>
      </c>
      <c r="D400" s="8" t="str">
        <f ca="1">IFERROR(__xludf.DUMMYFUNCTION("""COMPUTED_VALUE"""),"2016-Korea")</f>
        <v>2016-Korea</v>
      </c>
      <c r="E400" s="8" t="str">
        <f ca="1">IFERROR(__xludf.DUMMYFUNCTION("""COMPUTED_VALUE"""),"89.96 x 14.40")</f>
        <v>89.96 x 14.40</v>
      </c>
      <c r="F400" s="8" t="str">
        <f ca="1">IFERROR(__xludf.DUMMYFUNCTION("""COMPUTED_VALUE"""),"9")</f>
        <v>9</v>
      </c>
      <c r="G400" s="8">
        <f ca="1">IFERROR(__xludf.DUMMYFUNCTION("""COMPUTED_VALUE"""),4009)</f>
        <v>4009</v>
      </c>
      <c r="H400" s="8" t="str">
        <f ca="1">IFERROR(__xludf.DUMMYFUNCTION("""COMPUTED_VALUE"""),"Yes stst/Y stst")</f>
        <v>Yes stst/Y stst</v>
      </c>
      <c r="I400" s="8" t="str">
        <f ca="1">IFERROR(__xludf.DUMMYFUNCTION("""COMPUTED_VALUE"""),"9 x 200")</f>
        <v>9 x 200</v>
      </c>
      <c r="J400" s="8" t="str">
        <f ca="1">IFERROR(__xludf.DUMMYFUNCTION("""COMPUTED_VALUE"""),"Hanshin")</f>
        <v>Hanshin</v>
      </c>
      <c r="K400" s="8" t="str">
        <f ca="1">IFERROR(__xludf.DUMMYFUNCTION("""COMPUTED_VALUE"""),"13k/8.9 t")</f>
        <v>13k/8.9 t</v>
      </c>
      <c r="L400" s="8" t="str">
        <f ca="1">IFERROR(__xludf.DUMMYFUNCTION("""COMPUTED_VALUE"""),"To be chkd")</f>
        <v>To be chkd</v>
      </c>
      <c r="M400" s="8" t="str">
        <f ca="1">IFERROR(__xludf.DUMMYFUNCTION("""COMPUTED_VALUE"""),"KR 5.27D")</f>
        <v>KR 5.27D</v>
      </c>
      <c r="N400" s="8" t="str">
        <f ca="1">IFERROR(__xludf.DUMMYFUNCTION("""COMPUTED_VALUE"""),"Fareast")</f>
        <v>Fareast</v>
      </c>
      <c r="O400" s="8" t="str">
        <f ca="1">IFERROR(__xludf.DUMMYFUNCTION("""COMPUTED_VALUE"""),"15-14.5 m")</f>
        <v>15-14.5 m</v>
      </c>
    </row>
    <row r="401" spans="1:15" ht="15.75" customHeight="1" x14ac:dyDescent="0.25">
      <c r="A401" s="8" t="str">
        <f ca="1">IFERROR(__xludf.DUMMYFUNCTION("""COMPUTED_VALUE"""),"TA 3456/09")</f>
        <v>TA 3456/09</v>
      </c>
      <c r="B401" s="8" t="str">
        <f ca="1">IFERROR(__xludf.DUMMYFUNCTION("""COMPUTED_VALUE"""),"St.St. Chemical Tanker")</f>
        <v>St.St. Chemical Tanker</v>
      </c>
      <c r="C401" s="9">
        <f ca="1">IFERROR(__xludf.DUMMYFUNCTION("""COMPUTED_VALUE"""),3456)</f>
        <v>3456</v>
      </c>
      <c r="D401" s="8" t="str">
        <f ca="1">IFERROR(__xludf.DUMMYFUNCTION("""COMPUTED_VALUE"""),"2009-China")</f>
        <v>2009-China</v>
      </c>
      <c r="E401" s="8" t="str">
        <f ca="1">IFERROR(__xludf.DUMMYFUNCTION("""COMPUTED_VALUE"""),"91.22 x 15.00")</f>
        <v>91.22 x 15.00</v>
      </c>
      <c r="F401" s="8" t="str">
        <f ca="1">IFERROR(__xludf.DUMMYFUNCTION("""COMPUTED_VALUE"""),"-")</f>
        <v>-</v>
      </c>
      <c r="G401" s="8">
        <f ca="1">IFERROR(__xludf.DUMMYFUNCTION("""COMPUTED_VALUE"""),3836)</f>
        <v>3836</v>
      </c>
      <c r="H401" s="8" t="str">
        <f ca="1">IFERROR(__xludf.DUMMYFUNCTION("""COMPUTED_VALUE"""),"Y stst/Y stst")</f>
        <v>Y stst/Y stst</v>
      </c>
      <c r="I401" s="8" t="str">
        <f ca="1">IFERROR(__xludf.DUMMYFUNCTION("""COMPUTED_VALUE"""),"10x150+2x100+70")</f>
        <v>10x150+2x100+70</v>
      </c>
      <c r="J401" s="8" t="str">
        <f ca="1">IFERROR(__xludf.DUMMYFUNCTION("""COMPUTED_VALUE"""),"Hanshin")</f>
        <v>Hanshin</v>
      </c>
      <c r="K401" s="8" t="str">
        <f ca="1">IFERROR(__xludf.DUMMYFUNCTION("""COMPUTED_VALUE"""),"12.8 k")</f>
        <v>12.8 k</v>
      </c>
      <c r="L401" s="8" t="str">
        <f ca="1">IFERROR(__xludf.DUMMYFUNCTION("""COMPUTED_VALUE"""),"Fitted")</f>
        <v>Fitted</v>
      </c>
      <c r="M401" s="8" t="str">
        <f ca="1">IFERROR(__xludf.DUMMYFUNCTION("""COMPUTED_VALUE"""),"KR 8.24P")</f>
        <v>KR 8.24P</v>
      </c>
      <c r="N401" s="8" t="str">
        <f ca="1">IFERROR(__xludf.DUMMYFUNCTION("""COMPUTED_VALUE"""),"Korea")</f>
        <v>Korea</v>
      </c>
      <c r="O401" s="8" t="str">
        <f ca="1">IFERROR(__xludf.DUMMYFUNCTION("""COMPUTED_VALUE"""),"B.offers")</f>
        <v>B.offers</v>
      </c>
    </row>
    <row r="402" spans="1:15" ht="15.75" customHeight="1" x14ac:dyDescent="0.25">
      <c r="A402" s="8" t="str">
        <f ca="1">IFERROR(__xludf.DUMMYFUNCTION("""COMPUTED_VALUE"""),"TA 3446/04")</f>
        <v>TA 3446/04</v>
      </c>
      <c r="B402" s="8" t="str">
        <f ca="1">IFERROR(__xludf.DUMMYFUNCTION("""COMPUTED_VALUE"""),"Oil/Products Tanker")</f>
        <v>Oil/Products Tanker</v>
      </c>
      <c r="C402" s="9">
        <f ca="1">IFERROR(__xludf.DUMMYFUNCTION("""COMPUTED_VALUE"""),3446)</f>
        <v>3446</v>
      </c>
      <c r="D402" s="8" t="str">
        <f ca="1">IFERROR(__xludf.DUMMYFUNCTION("""COMPUTED_VALUE"""),"12.2004-Turk")</f>
        <v>12.2004-Turk</v>
      </c>
      <c r="E402" s="8" t="str">
        <f ca="1">IFERROR(__xludf.DUMMYFUNCTION("""COMPUTED_VALUE"""),"88.22 x 13.00")</f>
        <v>88.22 x 13.00</v>
      </c>
      <c r="F402" s="8" t="str">
        <f ca="1">IFERROR(__xludf.DUMMYFUNCTION("""COMPUTED_VALUE"""),"10")</f>
        <v>10</v>
      </c>
      <c r="G402" s="8">
        <f ca="1">IFERROR(__xludf.DUMMYFUNCTION("""COMPUTED_VALUE"""),3668)</f>
        <v>3668</v>
      </c>
      <c r="H402" s="8" t="str">
        <f ca="1">IFERROR(__xludf.DUMMYFUNCTION("""COMPUTED_VALUE"""),"Y/Y Epoxy")</f>
        <v>Y/Y Epoxy</v>
      </c>
      <c r="I402" s="8" t="str">
        <f ca="1">IFERROR(__xludf.DUMMYFUNCTION("""COMPUTED_VALUE"""),"10 x 150")</f>
        <v>10 x 150</v>
      </c>
      <c r="J402" s="8" t="str">
        <f ca="1">IFERROR(__xludf.DUMMYFUNCTION("""COMPUTED_VALUE"""),"MAK")</f>
        <v>MAK</v>
      </c>
      <c r="K402" s="8" t="str">
        <f ca="1">IFERROR(__xludf.DUMMYFUNCTION("""COMPUTED_VALUE"""),"12.0 k")</f>
        <v>12.0 k</v>
      </c>
      <c r="L402" s="8" t="str">
        <f ca="1">IFERROR(__xludf.DUMMYFUNCTION("""COMPUTED_VALUE"""),"Fitted")</f>
        <v>Fitted</v>
      </c>
      <c r="M402" s="8" t="str">
        <f ca="1">IFERROR(__xludf.DUMMYFUNCTION("""COMPUTED_VALUE"""),"Rina Ice C")</f>
        <v>Rina Ice C</v>
      </c>
      <c r="N402" s="8" t="str">
        <f ca="1">IFERROR(__xludf.DUMMYFUNCTION("""COMPUTED_VALUE"""),"Med")</f>
        <v>Med</v>
      </c>
      <c r="O402" s="8" t="str">
        <f ca="1">IFERROR(__xludf.DUMMYFUNCTION("""COMPUTED_VALUE"""),"5.0 m wTC")</f>
        <v>5.0 m wTC</v>
      </c>
    </row>
    <row r="403" spans="1:15" ht="15.75" customHeight="1" x14ac:dyDescent="0.25">
      <c r="A403" s="8" t="str">
        <f ca="1">IFERROR(__xludf.DUMMYFUNCTION("""COMPUTED_VALUE"""),"TA 3390/07")</f>
        <v>TA 3390/07</v>
      </c>
      <c r="B403" s="8" t="str">
        <f ca="1">IFERROR(__xludf.DUMMYFUNCTION("""COMPUTED_VALUE"""),"Oil Products Tanker")</f>
        <v>Oil Products Tanker</v>
      </c>
      <c r="C403" s="9">
        <f ca="1">IFERROR(__xludf.DUMMYFUNCTION("""COMPUTED_VALUE"""),3390)</f>
        <v>3390</v>
      </c>
      <c r="D403" s="8" t="str">
        <f ca="1">IFERROR(__xludf.DUMMYFUNCTION("""COMPUTED_VALUE"""),"10.2007-China")</f>
        <v>10.2007-China</v>
      </c>
      <c r="E403" s="8" t="str">
        <f ca="1">IFERROR(__xludf.DUMMYFUNCTION("""COMPUTED_VALUE"""),"88.02 x 13.50")</f>
        <v>88.02 x 13.50</v>
      </c>
      <c r="F403" s="8" t="str">
        <f ca="1">IFERROR(__xludf.DUMMYFUNCTION("""COMPUTED_VALUE"""),"-")</f>
        <v>-</v>
      </c>
      <c r="G403" s="8">
        <f ca="1">IFERROR(__xludf.DUMMYFUNCTION("""COMPUTED_VALUE"""),3450)</f>
        <v>3450</v>
      </c>
      <c r="H403" s="8" t="str">
        <f ca="1">IFERROR(__xludf.DUMMYFUNCTION("""COMPUTED_VALUE"""),"Y/N")</f>
        <v>Y/N</v>
      </c>
      <c r="I403" s="8" t="str">
        <f ca="1">IFERROR(__xludf.DUMMYFUNCTION("""COMPUTED_VALUE"""),"2 Screw")</f>
        <v>2 Screw</v>
      </c>
      <c r="J403" s="8" t="str">
        <f ca="1">IFERROR(__xludf.DUMMYFUNCTION("""COMPUTED_VALUE"""),"Ningbo")</f>
        <v>Ningbo</v>
      </c>
      <c r="K403" s="8" t="str">
        <f ca="1">IFERROR(__xludf.DUMMYFUNCTION("""COMPUTED_VALUE"""),"-")</f>
        <v>-</v>
      </c>
      <c r="L403" s="8" t="str">
        <f ca="1">IFERROR(__xludf.DUMMYFUNCTION("""COMPUTED_VALUE"""),"To be chkd")</f>
        <v>To be chkd</v>
      </c>
      <c r="M403" s="8" t="str">
        <f ca="1">IFERROR(__xludf.DUMMYFUNCTION("""COMPUTED_VALUE"""),"IRS 10/25D")</f>
        <v>IRS 10/25D</v>
      </c>
      <c r="N403" s="8" t="str">
        <f ca="1">IFERROR(__xludf.DUMMYFUNCTION("""COMPUTED_VALUE"""),"Middleast")</f>
        <v>Middleast</v>
      </c>
      <c r="O403" s="8" t="str">
        <f ca="1">IFERROR(__xludf.DUMMYFUNCTION("""COMPUTED_VALUE"""),"B.offers")</f>
        <v>B.offers</v>
      </c>
    </row>
    <row r="404" spans="1:15" ht="15.75" customHeight="1" x14ac:dyDescent="0.25">
      <c r="A404" s="8" t="str">
        <f ca="1">IFERROR(__xludf.DUMMYFUNCTION("""COMPUTED_VALUE"""),"TA 3387/07")</f>
        <v>TA 3387/07</v>
      </c>
      <c r="B404" s="8" t="str">
        <f ca="1">IFERROR(__xludf.DUMMYFUNCTION("""COMPUTED_VALUE"""),"St.St. Chemical Tanker")</f>
        <v>St.St. Chemical Tanker</v>
      </c>
      <c r="C404" s="9">
        <f ca="1">IFERROR(__xludf.DUMMYFUNCTION("""COMPUTED_VALUE"""),3387)</f>
        <v>3387</v>
      </c>
      <c r="D404" s="8" t="str">
        <f ca="1">IFERROR(__xludf.DUMMYFUNCTION("""COMPUTED_VALUE"""),"1.2007-China")</f>
        <v>1.2007-China</v>
      </c>
      <c r="E404" s="8" t="str">
        <f ca="1">IFERROR(__xludf.DUMMYFUNCTION("""COMPUTED_VALUE"""),"91.03 x 13.50")</f>
        <v>91.03 x 13.50</v>
      </c>
      <c r="F404" s="8" t="str">
        <f ca="1">IFERROR(__xludf.DUMMYFUNCTION("""COMPUTED_VALUE"""),"12")</f>
        <v>12</v>
      </c>
      <c r="G404" s="8">
        <f ca="1">IFERROR(__xludf.DUMMYFUNCTION("""COMPUTED_VALUE"""),3701)</f>
        <v>3701</v>
      </c>
      <c r="H404" s="8" t="str">
        <f ca="1">IFERROR(__xludf.DUMMYFUNCTION("""COMPUTED_VALUE"""),"Y/Y St.St.")</f>
        <v>Y/Y St.St.</v>
      </c>
      <c r="I404" s="8" t="str">
        <f ca="1">IFERROR(__xludf.DUMMYFUNCTION("""COMPUTED_VALUE"""),"2 x 350")</f>
        <v>2 x 350</v>
      </c>
      <c r="J404" s="8" t="str">
        <f ca="1">IFERROR(__xludf.DUMMYFUNCTION("""COMPUTED_VALUE"""),"Ningbo")</f>
        <v>Ningbo</v>
      </c>
      <c r="K404" s="8" t="str">
        <f ca="1">IFERROR(__xludf.DUMMYFUNCTION("""COMPUTED_VALUE"""),"-")</f>
        <v>-</v>
      </c>
      <c r="L404" s="8" t="str">
        <f ca="1">IFERROR(__xludf.DUMMYFUNCTION("""COMPUTED_VALUE"""),"Fitted")</f>
        <v>Fitted</v>
      </c>
      <c r="M404" s="8" t="str">
        <f ca="1">IFERROR(__xludf.DUMMYFUNCTION("""COMPUTED_VALUE"""),"CCS 7/26D")</f>
        <v>CCS 7/26D</v>
      </c>
      <c r="N404" s="8" t="str">
        <f ca="1">IFERROR(__xludf.DUMMYFUNCTION("""COMPUTED_VALUE"""),"Fareast")</f>
        <v>Fareast</v>
      </c>
      <c r="O404" s="8" t="str">
        <f ca="1">IFERROR(__xludf.DUMMYFUNCTION("""COMPUTED_VALUE"""),"B.offers")</f>
        <v>B.offers</v>
      </c>
    </row>
    <row r="405" spans="1:15" ht="15.75" customHeight="1" x14ac:dyDescent="0.25">
      <c r="A405" s="8" t="str">
        <f ca="1">IFERROR(__xludf.DUMMYFUNCTION("""COMPUTED_VALUE"""),"TA 3356/09")</f>
        <v>TA 3356/09</v>
      </c>
      <c r="B405" s="8" t="str">
        <f ca="1">IFERROR(__xludf.DUMMYFUNCTION("""COMPUTED_VALUE"""),"Oil/Chemical Tanker IMO 2 Ice IC")</f>
        <v>Oil/Chemical Tanker IMO 2 Ice IC</v>
      </c>
      <c r="C405" s="9">
        <f ca="1">IFERROR(__xludf.DUMMYFUNCTION("""COMPUTED_VALUE"""),3356)</f>
        <v>3356</v>
      </c>
      <c r="D405" s="8" t="str">
        <f ca="1">IFERROR(__xludf.DUMMYFUNCTION("""COMPUTED_VALUE"""),"2009-Turkey")</f>
        <v>2009-Turkey</v>
      </c>
      <c r="E405" s="8" t="str">
        <f ca="1">IFERROR(__xludf.DUMMYFUNCTION("""COMPUTED_VALUE"""),"92.86 x 14.10")</f>
        <v>92.86 x 14.10</v>
      </c>
      <c r="F405" s="8" t="str">
        <f ca="1">IFERROR(__xludf.DUMMYFUNCTION("""COMPUTED_VALUE"""),"11")</f>
        <v>11</v>
      </c>
      <c r="G405" s="8">
        <f ca="1">IFERROR(__xludf.DUMMYFUNCTION("""COMPUTED_VALUE"""),4081)</f>
        <v>4081</v>
      </c>
      <c r="H405" s="8" t="str">
        <f ca="1">IFERROR(__xludf.DUMMYFUNCTION("""COMPUTED_VALUE"""),"Y st.st/Y Marinel")</f>
        <v>Y st.st/Y Marinel</v>
      </c>
      <c r="I405" s="8" t="str">
        <f ca="1">IFERROR(__xludf.DUMMYFUNCTION("""COMPUTED_VALUE"""),"10x150+1x100")</f>
        <v>10x150+1x100</v>
      </c>
      <c r="J405" s="8" t="str">
        <f ca="1">IFERROR(__xludf.DUMMYFUNCTION("""COMPUTED_VALUE"""),"MAN")</f>
        <v>MAN</v>
      </c>
      <c r="K405" s="8" t="str">
        <f ca="1">IFERROR(__xludf.DUMMYFUNCTION("""COMPUTED_VALUE"""),"10.5 k/7 t GO")</f>
        <v>10.5 k/7 t GO</v>
      </c>
      <c r="L405" s="8" t="str">
        <f ca="1">IFERROR(__xludf.DUMMYFUNCTION("""COMPUTED_VALUE"""),"To be chkd")</f>
        <v>To be chkd</v>
      </c>
      <c r="M405" s="8" t="str">
        <f ca="1">IFERROR(__xludf.DUMMYFUNCTION("""COMPUTED_VALUE"""),"BV 5/29D")</f>
        <v>BV 5/29D</v>
      </c>
      <c r="N405" s="8" t="str">
        <f ca="1">IFERROR(__xludf.DUMMYFUNCTION("""COMPUTED_VALUE"""),"Med/Cont")</f>
        <v>Med/Cont</v>
      </c>
      <c r="O405" s="8" t="str">
        <f ca="1">IFERROR(__xludf.DUMMYFUNCTION("""COMPUTED_VALUE"""),"6.9-6.7 m")</f>
        <v>6.9-6.7 m</v>
      </c>
    </row>
    <row r="406" spans="1:15" ht="15.75" customHeight="1" x14ac:dyDescent="0.25">
      <c r="A406" s="8" t="str">
        <f ca="1">IFERROR(__xludf.DUMMYFUNCTION("""COMPUTED_VALUE"""),"TA 3302/06")</f>
        <v>TA 3302/06</v>
      </c>
      <c r="B406" s="8" t="str">
        <f ca="1">IFERROR(__xludf.DUMMYFUNCTION("""COMPUTED_VALUE"""),"Products Tanker")</f>
        <v>Products Tanker</v>
      </c>
      <c r="C406" s="9">
        <f ca="1">IFERROR(__xludf.DUMMYFUNCTION("""COMPUTED_VALUE"""),3302)</f>
        <v>3302</v>
      </c>
      <c r="D406" s="8" t="str">
        <f ca="1">IFERROR(__xludf.DUMMYFUNCTION("""COMPUTED_VALUE"""),"2006-China")</f>
        <v>2006-China</v>
      </c>
      <c r="E406" s="8" t="str">
        <f ca="1">IFERROR(__xludf.DUMMYFUNCTION("""COMPUTED_VALUE"""),"88.02 x 13.50")</f>
        <v>88.02 x 13.50</v>
      </c>
      <c r="F406" s="8" t="str">
        <f ca="1">IFERROR(__xludf.DUMMYFUNCTION("""COMPUTED_VALUE"""),"-")</f>
        <v>-</v>
      </c>
      <c r="G406" s="8">
        <f ca="1">IFERROR(__xludf.DUMMYFUNCTION("""COMPUTED_VALUE"""),3400)</f>
        <v>3400</v>
      </c>
      <c r="H406" s="8" t="str">
        <f ca="1">IFERROR(__xludf.DUMMYFUNCTION("""COMPUTED_VALUE"""),"N/Y Epoxy")</f>
        <v>N/Y Epoxy</v>
      </c>
      <c r="I406" s="8" t="str">
        <f ca="1">IFERROR(__xludf.DUMMYFUNCTION("""COMPUTED_VALUE"""),"2 x 200")</f>
        <v>2 x 200</v>
      </c>
      <c r="J406" s="8" t="str">
        <f ca="1">IFERROR(__xludf.DUMMYFUNCTION("""COMPUTED_VALUE"""),"Ningbo")</f>
        <v>Ningbo</v>
      </c>
      <c r="K406" s="8" t="str">
        <f ca="1">IFERROR(__xludf.DUMMYFUNCTION("""COMPUTED_VALUE"""),"-")</f>
        <v>-</v>
      </c>
      <c r="L406" s="8" t="str">
        <f ca="1">IFERROR(__xludf.DUMMYFUNCTION("""COMPUTED_VALUE"""),"To be chkd")</f>
        <v>To be chkd</v>
      </c>
      <c r="M406" s="8" t="str">
        <f ca="1">IFERROR(__xludf.DUMMYFUNCTION("""COMPUTED_VALUE"""),"Non IACS")</f>
        <v>Non IACS</v>
      </c>
      <c r="N406" s="8" t="str">
        <f ca="1">IFERROR(__xludf.DUMMYFUNCTION("""COMPUTED_VALUE"""),"Fareast")</f>
        <v>Fareast</v>
      </c>
      <c r="O406" s="8" t="str">
        <f ca="1">IFERROR(__xludf.DUMMYFUNCTION("""COMPUTED_VALUE"""),"B.offers")</f>
        <v>B.offers</v>
      </c>
    </row>
    <row r="407" spans="1:15" ht="15.75" customHeight="1" x14ac:dyDescent="0.25">
      <c r="A407" s="8" t="str">
        <f ca="1">IFERROR(__xludf.DUMMYFUNCTION("""COMPUTED_VALUE"""),"TA 3300/22")</f>
        <v>TA 3300/22</v>
      </c>
      <c r="B407" s="8" t="str">
        <f ca="1">IFERROR(__xludf.DUMMYFUNCTION("""COMPUTED_VALUE"""),"Oil/Chem.Tanker IMO II")</f>
        <v>Oil/Chem.Tanker IMO II</v>
      </c>
      <c r="C407" s="9">
        <f ca="1">IFERROR(__xludf.DUMMYFUNCTION("""COMPUTED_VALUE"""),3300)</f>
        <v>3300</v>
      </c>
      <c r="D407" s="8" t="str">
        <f ca="1">IFERROR(__xludf.DUMMYFUNCTION("""COMPUTED_VALUE"""),"2022-Turkey")</f>
        <v>2022-Turkey</v>
      </c>
      <c r="E407" s="8" t="str">
        <f ca="1">IFERROR(__xludf.DUMMYFUNCTION("""COMPUTED_VALUE"""),"90.84 x 13.00")</f>
        <v>90.84 x 13.00</v>
      </c>
      <c r="F407" s="8" t="str">
        <f ca="1">IFERROR(__xludf.DUMMYFUNCTION("""COMPUTED_VALUE"""),"10")</f>
        <v>10</v>
      </c>
      <c r="G407" s="8">
        <f ca="1">IFERROR(__xludf.DUMMYFUNCTION("""COMPUTED_VALUE"""),3590)</f>
        <v>3590</v>
      </c>
      <c r="H407" s="8" t="str">
        <f ca="1">IFERROR(__xludf.DUMMYFUNCTION("""COMPUTED_VALUE"""),"Y stst/Marineline")</f>
        <v>Y stst/Marineline</v>
      </c>
      <c r="I407" s="8" t="str">
        <f ca="1">IFERROR(__xludf.DUMMYFUNCTION("""COMPUTED_VALUE"""),"2 x 380 + 1 x 100 ")</f>
        <v xml:space="preserve">2 x 380 + 1 x 100 </v>
      </c>
      <c r="J407" s="8" t="str">
        <f ca="1">IFERROR(__xludf.DUMMYFUNCTION("""COMPUTED_VALUE"""),"Wartsila")</f>
        <v>Wartsila</v>
      </c>
      <c r="K407" s="8" t="str">
        <f ca="1">IFERROR(__xludf.DUMMYFUNCTION("""COMPUTED_VALUE"""),"10.5k/3.6tGO")</f>
        <v>10.5k/3.6tGO</v>
      </c>
      <c r="L407" s="8" t="str">
        <f ca="1">IFERROR(__xludf.DUMMYFUNCTION("""COMPUTED_VALUE"""),"To be chkd")</f>
        <v>To be chkd</v>
      </c>
      <c r="M407" s="8" t="str">
        <f ca="1">IFERROR(__xludf.DUMMYFUNCTION("""COMPUTED_VALUE"""),"BV 5/27D")</f>
        <v>BV 5/27D</v>
      </c>
      <c r="N407" s="8" t="str">
        <f ca="1">IFERROR(__xludf.DUMMYFUNCTION("""COMPUTED_VALUE"""),"Med/B.Sea")</f>
        <v>Med/B.Sea</v>
      </c>
      <c r="O407" s="8" t="str">
        <f ca="1">IFERROR(__xludf.DUMMYFUNCTION("""COMPUTED_VALUE"""),"B.offers")</f>
        <v>B.offers</v>
      </c>
    </row>
    <row r="408" spans="1:15" ht="15.75" customHeight="1" x14ac:dyDescent="0.25">
      <c r="A408" s="8" t="str">
        <f ca="1">IFERROR(__xludf.DUMMYFUNCTION("""COMPUTED_VALUE"""),"TA 3229/94")</f>
        <v>TA 3229/94</v>
      </c>
      <c r="B408" s="8" t="str">
        <f ca="1">IFERROR(__xludf.DUMMYFUNCTION("""COMPUTED_VALUE"""),"Oil/Prods Tanker IMO 3")</f>
        <v>Oil/Prods Tanker IMO 3</v>
      </c>
      <c r="C408" s="9">
        <f ca="1">IFERROR(__xludf.DUMMYFUNCTION("""COMPUTED_VALUE"""),3229)</f>
        <v>3229</v>
      </c>
      <c r="D408" s="8" t="str">
        <f ca="1">IFERROR(__xludf.DUMMYFUNCTION("""COMPUTED_VALUE"""),"1994-Turkey")</f>
        <v>1994-Turkey</v>
      </c>
      <c r="E408" s="8" t="str">
        <f ca="1">IFERROR(__xludf.DUMMYFUNCTION("""COMPUTED_VALUE"""),"84.35 x 14.00")</f>
        <v>84.35 x 14.00</v>
      </c>
      <c r="F408" s="8" t="str">
        <f ca="1">IFERROR(__xludf.DUMMYFUNCTION("""COMPUTED_VALUE"""),"11")</f>
        <v>11</v>
      </c>
      <c r="G408" s="8">
        <f ca="1">IFERROR(__xludf.DUMMYFUNCTION("""COMPUTED_VALUE"""),3384)</f>
        <v>3384</v>
      </c>
      <c r="H408" s="8" t="str">
        <f ca="1">IFERROR(__xludf.DUMMYFUNCTION("""COMPUTED_VALUE"""),"Y stst/Y Epoxy")</f>
        <v>Y stst/Y Epoxy</v>
      </c>
      <c r="I408" s="8" t="str">
        <f ca="1">IFERROR(__xludf.DUMMYFUNCTION("""COMPUTED_VALUE"""),"2x250+1x150")</f>
        <v>2x250+1x150</v>
      </c>
      <c r="J408" s="8" t="str">
        <f ca="1">IFERROR(__xludf.DUMMYFUNCTION("""COMPUTED_VALUE"""),"Hanshin")</f>
        <v>Hanshin</v>
      </c>
      <c r="K408" s="8" t="str">
        <f ca="1">IFERROR(__xludf.DUMMYFUNCTION("""COMPUTED_VALUE"""),"10.5-10k/3.8")</f>
        <v>10.5-10k/3.8</v>
      </c>
      <c r="L408" s="8" t="str">
        <f ca="1">IFERROR(__xludf.DUMMYFUNCTION("""COMPUTED_VALUE"""),"Fitted")</f>
        <v>Fitted</v>
      </c>
      <c r="M408" s="8" t="str">
        <f ca="1">IFERROR(__xludf.DUMMYFUNCTION("""COMPUTED_VALUE"""),"ABS 7.29D")</f>
        <v>ABS 7.29D</v>
      </c>
      <c r="N408" s="8" t="str">
        <f ca="1">IFERROR(__xludf.DUMMYFUNCTION("""COMPUTED_VALUE"""),"Med/B.Sea")</f>
        <v>Med/B.Sea</v>
      </c>
      <c r="O408" s="8" t="str">
        <f ca="1">IFERROR(__xludf.DUMMYFUNCTION("""COMPUTED_VALUE"""),"2.8-2.5 m")</f>
        <v>2.8-2.5 m</v>
      </c>
    </row>
    <row r="409" spans="1:15" ht="15.75" customHeight="1" x14ac:dyDescent="0.25">
      <c r="A409" s="8" t="str">
        <f ca="1">IFERROR(__xludf.DUMMYFUNCTION("""COMPUTED_VALUE"""),"TA 3211/90")</f>
        <v>TA 3211/90</v>
      </c>
      <c r="B409" s="8" t="str">
        <f ca="1">IFERROR(__xludf.DUMMYFUNCTION("""COMPUTED_VALUE"""),"Volga Type Shallow Draft Tanker")</f>
        <v>Volga Type Shallow Draft Tanker</v>
      </c>
      <c r="C409" s="9">
        <f ca="1">IFERROR(__xludf.DUMMYFUNCTION("""COMPUTED_VALUE"""),3211)</f>
        <v>3211</v>
      </c>
      <c r="D409" s="8" t="str">
        <f ca="1">IFERROR(__xludf.DUMMYFUNCTION("""COMPUTED_VALUE"""),"1990-Russia")</f>
        <v>1990-Russia</v>
      </c>
      <c r="E409" s="8" t="str">
        <f ca="1">IFERROR(__xludf.DUMMYFUNCTION("""COMPUTED_VALUE"""),"86.70 x 12.00")</f>
        <v>86.70 x 12.00</v>
      </c>
      <c r="F409" s="8" t="str">
        <f ca="1">IFERROR(__xludf.DUMMYFUNCTION("""COMPUTED_VALUE"""),"-")</f>
        <v>-</v>
      </c>
      <c r="G409" s="8"/>
      <c r="H409" s="8" t="str">
        <f ca="1">IFERROR(__xludf.DUMMYFUNCTION("""COMPUTED_VALUE"""),"-")</f>
        <v>-</v>
      </c>
      <c r="I409" s="8" t="str">
        <f ca="1">IFERROR(__xludf.DUMMYFUNCTION("""COMPUTED_VALUE"""),"2 x 130")</f>
        <v>2 x 130</v>
      </c>
      <c r="J409" s="8" t="str">
        <f ca="1">IFERROR(__xludf.DUMMYFUNCTION("""COMPUTED_VALUE"""),"SKL")</f>
        <v>SKL</v>
      </c>
      <c r="K409" s="8" t="str">
        <f ca="1">IFERROR(__xludf.DUMMYFUNCTION("""COMPUTED_VALUE"""),"-")</f>
        <v>-</v>
      </c>
      <c r="L409" s="8" t="str">
        <f ca="1">IFERROR(__xludf.DUMMYFUNCTION("""COMPUTED_VALUE"""),"To be chkd")</f>
        <v>To be chkd</v>
      </c>
      <c r="M409" s="8" t="str">
        <f ca="1">IFERROR(__xludf.DUMMYFUNCTION("""COMPUTED_VALUE"""),"Dutch Lloyd")</f>
        <v>Dutch Lloyd</v>
      </c>
      <c r="N409" s="8" t="str">
        <f ca="1">IFERROR(__xludf.DUMMYFUNCTION("""COMPUTED_VALUE"""),"Marmara Sea")</f>
        <v>Marmara Sea</v>
      </c>
      <c r="O409" s="8" t="str">
        <f ca="1">IFERROR(__xludf.DUMMYFUNCTION("""COMPUTED_VALUE"""),"B.offers")</f>
        <v>B.offers</v>
      </c>
    </row>
    <row r="410" spans="1:15" ht="15.75" customHeight="1" x14ac:dyDescent="0.25">
      <c r="A410" s="8" t="str">
        <f ca="1">IFERROR(__xludf.DUMMYFUNCTION("""COMPUTED_VALUE"""),"TA 3153/20")</f>
        <v>TA 3153/20</v>
      </c>
      <c r="B410" s="8" t="str">
        <f ca="1">IFERROR(__xludf.DUMMYFUNCTION("""COMPUTED_VALUE"""),"Twinscrew Oil Tanker")</f>
        <v>Twinscrew Oil Tanker</v>
      </c>
      <c r="C410" s="9">
        <f ca="1">IFERROR(__xludf.DUMMYFUNCTION("""COMPUTED_VALUE"""),3153)</f>
        <v>3153</v>
      </c>
      <c r="D410" s="8" t="str">
        <f ca="1">IFERROR(__xludf.DUMMYFUNCTION("""COMPUTED_VALUE"""),"2020-Egypt")</f>
        <v>2020-Egypt</v>
      </c>
      <c r="E410" s="8" t="str">
        <f ca="1">IFERROR(__xludf.DUMMYFUNCTION("""COMPUTED_VALUE"""),"79.40 x 15.00")</f>
        <v>79.40 x 15.00</v>
      </c>
      <c r="F410" s="8" t="str">
        <f ca="1">IFERROR(__xludf.DUMMYFUNCTION("""COMPUTED_VALUE"""),"2")</f>
        <v>2</v>
      </c>
      <c r="G410" s="8">
        <f ca="1">IFERROR(__xludf.DUMMYFUNCTION("""COMPUTED_VALUE"""),2881)</f>
        <v>2881</v>
      </c>
      <c r="H410" s="8" t="str">
        <f ca="1">IFERROR(__xludf.DUMMYFUNCTION("""COMPUTED_VALUE"""),"Y/Y Epoxy")</f>
        <v>Y/Y Epoxy</v>
      </c>
      <c r="I410" s="8" t="str">
        <f ca="1">IFERROR(__xludf.DUMMYFUNCTION("""COMPUTED_VALUE"""),"2 x 400")</f>
        <v>2 x 400</v>
      </c>
      <c r="J410" s="8" t="str">
        <f ca="1">IFERROR(__xludf.DUMMYFUNCTION("""COMPUTED_VALUE"""),"2 x Cummins")</f>
        <v>2 x Cummins</v>
      </c>
      <c r="K410" s="8" t="str">
        <f ca="1">IFERROR(__xludf.DUMMYFUNCTION("""COMPUTED_VALUE"""),"12 k")</f>
        <v>12 k</v>
      </c>
      <c r="L410" s="8" t="str">
        <f ca="1">IFERROR(__xludf.DUMMYFUNCTION("""COMPUTED_VALUE"""),"To be chkd")</f>
        <v>To be chkd</v>
      </c>
      <c r="M410" s="8" t="str">
        <f ca="1">IFERROR(__xludf.DUMMYFUNCTION("""COMPUTED_VALUE"""),"Phoe 12.25D")</f>
        <v>Phoe 12.25D</v>
      </c>
      <c r="N410" s="8" t="str">
        <f ca="1">IFERROR(__xludf.DUMMYFUNCTION("""COMPUTED_VALUE"""),"Egypt")</f>
        <v>Egypt</v>
      </c>
      <c r="O410" s="8" t="str">
        <f ca="1">IFERROR(__xludf.DUMMYFUNCTION("""COMPUTED_VALUE"""),"B.offers")</f>
        <v>B.offers</v>
      </c>
    </row>
    <row r="411" spans="1:15" ht="15.75" customHeight="1" x14ac:dyDescent="0.25">
      <c r="A411" s="8" t="str">
        <f ca="1">IFERROR(__xludf.DUMMYFUNCTION("""COMPUTED_VALUE"""),"TA 3095/06")</f>
        <v>TA 3095/06</v>
      </c>
      <c r="B411" s="8" t="str">
        <f ca="1">IFERROR(__xludf.DUMMYFUNCTION("""COMPUTED_VALUE"""),"Products Tanker")</f>
        <v>Products Tanker</v>
      </c>
      <c r="C411" s="9">
        <f ca="1">IFERROR(__xludf.DUMMYFUNCTION("""COMPUTED_VALUE"""),3095)</f>
        <v>3095</v>
      </c>
      <c r="D411" s="8" t="str">
        <f ca="1">IFERROR(__xludf.DUMMYFUNCTION("""COMPUTED_VALUE"""),"2006-China")</f>
        <v>2006-China</v>
      </c>
      <c r="E411" s="8" t="str">
        <f ca="1">IFERROR(__xludf.DUMMYFUNCTION("""COMPUTED_VALUE"""),"88.02 x 13.50")</f>
        <v>88.02 x 13.50</v>
      </c>
      <c r="F411" s="8" t="str">
        <f ca="1">IFERROR(__xludf.DUMMYFUNCTION("""COMPUTED_VALUE"""),"2")</f>
        <v>2</v>
      </c>
      <c r="G411" s="8">
        <f ca="1">IFERROR(__xludf.DUMMYFUNCTION("""COMPUTED_VALUE"""),3518)</f>
        <v>3518</v>
      </c>
      <c r="H411" s="8" t="str">
        <f ca="1">IFERROR(__xludf.DUMMYFUNCTION("""COMPUTED_VALUE"""),"N/Y Epoxy")</f>
        <v>N/Y Epoxy</v>
      </c>
      <c r="I411" s="8" t="str">
        <f ca="1">IFERROR(__xludf.DUMMYFUNCTION("""COMPUTED_VALUE"""),"2 x 400")</f>
        <v>2 x 400</v>
      </c>
      <c r="J411" s="8" t="str">
        <f ca="1">IFERROR(__xludf.DUMMYFUNCTION("""COMPUTED_VALUE"""),"Ningbo")</f>
        <v>Ningbo</v>
      </c>
      <c r="K411" s="8" t="str">
        <f ca="1">IFERROR(__xludf.DUMMYFUNCTION("""COMPUTED_VALUE"""),"-")</f>
        <v>-</v>
      </c>
      <c r="L411" s="8" t="str">
        <f ca="1">IFERROR(__xludf.DUMMYFUNCTION("""COMPUTED_VALUE"""),"To be chkd")</f>
        <v>To be chkd</v>
      </c>
      <c r="M411" s="8" t="str">
        <f ca="1">IFERROR(__xludf.DUMMYFUNCTION("""COMPUTED_VALUE"""),"Non IACS")</f>
        <v>Non IACS</v>
      </c>
      <c r="N411" s="8" t="str">
        <f ca="1">IFERROR(__xludf.DUMMYFUNCTION("""COMPUTED_VALUE"""),"Fareast")</f>
        <v>Fareast</v>
      </c>
      <c r="O411" s="8" t="str">
        <f ca="1">IFERROR(__xludf.DUMMYFUNCTION("""COMPUTED_VALUE"""),"B.offers")</f>
        <v>B.offers</v>
      </c>
    </row>
    <row r="412" spans="1:15" ht="15.75" customHeight="1" x14ac:dyDescent="0.25">
      <c r="A412" s="8" t="str">
        <f ca="1">IFERROR(__xludf.DUMMYFUNCTION("""COMPUTED_VALUE"""),"TA 3020/81")</f>
        <v>TA 3020/81</v>
      </c>
      <c r="B412" s="8" t="str">
        <f ca="1">IFERROR(__xludf.DUMMYFUNCTION("""COMPUTED_VALUE"""),"Bunker Tk Ice1C")</f>
        <v>Bunker Tk Ice1C</v>
      </c>
      <c r="C412" s="9">
        <f ca="1">IFERROR(__xludf.DUMMYFUNCTION("""COMPUTED_VALUE"""),3020)</f>
        <v>3020</v>
      </c>
      <c r="D412" s="8" t="str">
        <f ca="1">IFERROR(__xludf.DUMMYFUNCTION("""COMPUTED_VALUE"""),"1981-Norway")</f>
        <v>1981-Norway</v>
      </c>
      <c r="E412" s="8" t="str">
        <f ca="1">IFERROR(__xludf.DUMMYFUNCTION("""COMPUTED_VALUE"""),"79.63 x 14.01")</f>
        <v>79.63 x 14.01</v>
      </c>
      <c r="F412" s="8" t="str">
        <f ca="1">IFERROR(__xludf.DUMMYFUNCTION("""COMPUTED_VALUE"""),"12")</f>
        <v>12</v>
      </c>
      <c r="G412" s="8">
        <f ca="1">IFERROR(__xludf.DUMMYFUNCTION("""COMPUTED_VALUE"""),2975)</f>
        <v>2975</v>
      </c>
      <c r="H412" s="8" t="str">
        <f ca="1">IFERROR(__xludf.DUMMYFUNCTION("""COMPUTED_VALUE"""),"Y/Y Epoxy")</f>
        <v>Y/Y Epoxy</v>
      </c>
      <c r="I412" s="8" t="str">
        <f ca="1">IFERROR(__xludf.DUMMYFUNCTION("""COMPUTED_VALUE"""),"12 x 80")</f>
        <v>12 x 80</v>
      </c>
      <c r="J412" s="8" t="str">
        <f ca="1">IFERROR(__xludf.DUMMYFUNCTION("""COMPUTED_VALUE"""),"Normo")</f>
        <v>Normo</v>
      </c>
      <c r="K412" s="8" t="str">
        <f ca="1">IFERROR(__xludf.DUMMYFUNCTION("""COMPUTED_VALUE"""),"12.5 k")</f>
        <v>12.5 k</v>
      </c>
      <c r="L412" s="8" t="str">
        <f ca="1">IFERROR(__xludf.DUMMYFUNCTION("""COMPUTED_VALUE"""),"To be chkd")</f>
        <v>To be chkd</v>
      </c>
      <c r="M412" s="8" t="str">
        <f ca="1">IFERROR(__xludf.DUMMYFUNCTION("""COMPUTED_VALUE"""),"RS expired")</f>
        <v>RS expired</v>
      </c>
      <c r="N412" s="8" t="str">
        <f ca="1">IFERROR(__xludf.DUMMYFUNCTION("""COMPUTED_VALUE"""),"Riga L.up")</f>
        <v>Riga L.up</v>
      </c>
      <c r="O412" s="8" t="str">
        <f ca="1">IFERROR(__xludf.DUMMYFUNCTION("""COMPUTED_VALUE"""),"B.offers")</f>
        <v>B.offers</v>
      </c>
    </row>
    <row r="413" spans="1:15" ht="15.75" customHeight="1" x14ac:dyDescent="0.25">
      <c r="A413" s="8" t="str">
        <f ca="1">IFERROR(__xludf.DUMMYFUNCTION("""COMPUTED_VALUE"""),"TA 3007/06")</f>
        <v>TA 3007/06</v>
      </c>
      <c r="B413" s="8" t="str">
        <f ca="1">IFERROR(__xludf.DUMMYFUNCTION("""COMPUTED_VALUE"""),"HFO Trading Tanker")</f>
        <v>HFO Trading Tanker</v>
      </c>
      <c r="C413" s="9">
        <f ca="1">IFERROR(__xludf.DUMMYFUNCTION("""COMPUTED_VALUE"""),3007)</f>
        <v>3007</v>
      </c>
      <c r="D413" s="8" t="str">
        <f ca="1">IFERROR(__xludf.DUMMYFUNCTION("""COMPUTED_VALUE"""),"2006-China")</f>
        <v>2006-China</v>
      </c>
      <c r="E413" s="8" t="str">
        <f ca="1">IFERROR(__xludf.DUMMYFUNCTION("""COMPUTED_VALUE"""),"88.02 x 13.50")</f>
        <v>88.02 x 13.50</v>
      </c>
      <c r="F413" s="8" t="str">
        <f ca="1">IFERROR(__xludf.DUMMYFUNCTION("""COMPUTED_VALUE"""),"-")</f>
        <v>-</v>
      </c>
      <c r="G413" s="8" t="str">
        <f ca="1">IFERROR(__xludf.DUMMYFUNCTION("""COMPUTED_VALUE"""),"-")</f>
        <v>-</v>
      </c>
      <c r="H413" s="8" t="str">
        <f ca="1">IFERROR(__xludf.DUMMYFUNCTION("""COMPUTED_VALUE"""),"-")</f>
        <v>-</v>
      </c>
      <c r="I413" s="8" t="str">
        <f ca="1">IFERROR(__xludf.DUMMYFUNCTION("""COMPUTED_VALUE"""),"-")</f>
        <v>-</v>
      </c>
      <c r="J413" s="8" t="str">
        <f ca="1">IFERROR(__xludf.DUMMYFUNCTION("""COMPUTED_VALUE"""),"-")</f>
        <v>-</v>
      </c>
      <c r="K413" s="8" t="str">
        <f ca="1">IFERROR(__xludf.DUMMYFUNCTION("""COMPUTED_VALUE"""),"-")</f>
        <v>-</v>
      </c>
      <c r="L413" s="8" t="str">
        <f ca="1">IFERROR(__xludf.DUMMYFUNCTION("""COMPUTED_VALUE"""),"To be chkd")</f>
        <v>To be chkd</v>
      </c>
      <c r="M413" s="8" t="str">
        <f ca="1">IFERROR(__xludf.DUMMYFUNCTION("""COMPUTED_VALUE"""),"CCS Class")</f>
        <v>CCS Class</v>
      </c>
      <c r="N413" s="8" t="str">
        <f ca="1">IFERROR(__xludf.DUMMYFUNCTION("""COMPUTED_VALUE"""),"China")</f>
        <v>China</v>
      </c>
      <c r="O413" s="8" t="str">
        <f ca="1">IFERROR(__xludf.DUMMYFUNCTION("""COMPUTED_VALUE"""),"B.offers")</f>
        <v>B.offers</v>
      </c>
    </row>
    <row r="414" spans="1:15" ht="15.75" customHeight="1" x14ac:dyDescent="0.25">
      <c r="A414" s="8" t="str">
        <f ca="1">IFERROR(__xludf.DUMMYFUNCTION("""COMPUTED_VALUE"""),"TA 2893/81")</f>
        <v>TA 2893/81</v>
      </c>
      <c r="B414" s="8" t="str">
        <f ca="1">IFERROR(__xludf.DUMMYFUNCTION("""COMPUTED_VALUE"""),"Chem/Oil Stst Tker")</f>
        <v>Chem/Oil Stst Tker</v>
      </c>
      <c r="C414" s="9">
        <f ca="1">IFERROR(__xludf.DUMMYFUNCTION("""COMPUTED_VALUE"""),2893)</f>
        <v>2893</v>
      </c>
      <c r="D414" s="8" t="str">
        <f ca="1">IFERROR(__xludf.DUMMYFUNCTION("""COMPUTED_VALUE"""),"1981-German")</f>
        <v>1981-German</v>
      </c>
      <c r="E414" s="8" t="str">
        <f ca="1">IFERROR(__xludf.DUMMYFUNCTION("""COMPUTED_VALUE"""),"81.31 x 13.39")</f>
        <v>81.31 x 13.39</v>
      </c>
      <c r="F414" s="8" t="str">
        <f ca="1">IFERROR(__xludf.DUMMYFUNCTION("""COMPUTED_VALUE"""),"12")</f>
        <v>12</v>
      </c>
      <c r="G414" s="8">
        <f ca="1">IFERROR(__xludf.DUMMYFUNCTION("""COMPUTED_VALUE"""),2930)</f>
        <v>2930</v>
      </c>
      <c r="H414" s="8" t="str">
        <f ca="1">IFERROR(__xludf.DUMMYFUNCTION("""COMPUTED_VALUE"""),"N/Y St.Steel")</f>
        <v>N/Y St.Steel</v>
      </c>
      <c r="I414" s="8" t="str">
        <f ca="1">IFERROR(__xludf.DUMMYFUNCTION("""COMPUTED_VALUE"""),"13 x 65")</f>
        <v>13 x 65</v>
      </c>
      <c r="J414" s="8" t="str">
        <f ca="1">IFERROR(__xludf.DUMMYFUNCTION("""COMPUTED_VALUE"""),"MAK")</f>
        <v>MAK</v>
      </c>
      <c r="K414" s="8" t="str">
        <f ca="1">IFERROR(__xludf.DUMMYFUNCTION("""COMPUTED_VALUE"""),"-")</f>
        <v>-</v>
      </c>
      <c r="L414" s="8" t="str">
        <f ca="1">IFERROR(__xludf.DUMMYFUNCTION("""COMPUTED_VALUE"""),"To be chkd")</f>
        <v>To be chkd</v>
      </c>
      <c r="M414" s="8" t="str">
        <f ca="1">IFERROR(__xludf.DUMMYFUNCTION("""COMPUTED_VALUE"""),"VG Ice II")</f>
        <v>VG Ice II</v>
      </c>
      <c r="N414" s="8" t="str">
        <f ca="1">IFERROR(__xludf.DUMMYFUNCTION("""COMPUTED_VALUE"""),"Black Sea")</f>
        <v>Black Sea</v>
      </c>
      <c r="O414" s="8" t="str">
        <f ca="1">IFERROR(__xludf.DUMMYFUNCTION("""COMPUTED_VALUE"""),"B.offers")</f>
        <v>B.offers</v>
      </c>
    </row>
    <row r="415" spans="1:15" ht="15.75" customHeight="1" x14ac:dyDescent="0.25">
      <c r="A415" s="8" t="str">
        <f ca="1">IFERROR(__xludf.DUMMYFUNCTION("""COMPUTED_VALUE"""),"TA 2879/18")</f>
        <v>TA 2879/18</v>
      </c>
      <c r="B415" s="8" t="str">
        <f ca="1">IFERROR(__xludf.DUMMYFUNCTION("""COMPUTED_VALUE"""),"Chem.Tker IMO II")</f>
        <v>Chem.Tker IMO II</v>
      </c>
      <c r="C415" s="9">
        <f ca="1">IFERROR(__xludf.DUMMYFUNCTION("""COMPUTED_VALUE"""),2879)</f>
        <v>2879</v>
      </c>
      <c r="D415" s="8" t="str">
        <f ca="1">IFERROR(__xludf.DUMMYFUNCTION("""COMPUTED_VALUE"""),"2018-China")</f>
        <v>2018-China</v>
      </c>
      <c r="E415" s="8" t="str">
        <f ca="1">IFERROR(__xludf.DUMMYFUNCTION("""COMPUTED_VALUE"""),"86.00 x 13.60")</f>
        <v>86.00 x 13.60</v>
      </c>
      <c r="F415" s="8" t="str">
        <f ca="1">IFERROR(__xludf.DUMMYFUNCTION("""COMPUTED_VALUE"""),"12")</f>
        <v>12</v>
      </c>
      <c r="G415" s="8">
        <f ca="1">IFERROR(__xludf.DUMMYFUNCTION("""COMPUTED_VALUE"""),3547)</f>
        <v>3547</v>
      </c>
      <c r="H415" s="8" t="str">
        <f ca="1">IFERROR(__xludf.DUMMYFUNCTION("""COMPUTED_VALUE"""),"Y/Y Epoxy")</f>
        <v>Y/Y Epoxy</v>
      </c>
      <c r="I415" s="8" t="str">
        <f ca="1">IFERROR(__xludf.DUMMYFUNCTION("""COMPUTED_VALUE"""),"2 x 300")</f>
        <v>2 x 300</v>
      </c>
      <c r="J415" s="8" t="str">
        <f ca="1">IFERROR(__xludf.DUMMYFUNCTION("""COMPUTED_VALUE"""),"Ningbo")</f>
        <v>Ningbo</v>
      </c>
      <c r="K415" s="8" t="str">
        <f ca="1">IFERROR(__xludf.DUMMYFUNCTION("""COMPUTED_VALUE"""),"10.8 k")</f>
        <v>10.8 k</v>
      </c>
      <c r="L415" s="8" t="str">
        <f ca="1">IFERROR(__xludf.DUMMYFUNCTION("""COMPUTED_VALUE"""),"To be chkd")</f>
        <v>To be chkd</v>
      </c>
      <c r="M415" s="8" t="str">
        <f ca="1">IFERROR(__xludf.DUMMYFUNCTION("""COMPUTED_VALUE"""),"CCS Ice B")</f>
        <v>CCS Ice B</v>
      </c>
      <c r="N415" s="8" t="str">
        <f ca="1">IFERROR(__xludf.DUMMYFUNCTION("""COMPUTED_VALUE"""),"China Lup")</f>
        <v>China Lup</v>
      </c>
      <c r="O415" s="8" t="str">
        <f ca="1">IFERROR(__xludf.DUMMYFUNCTION("""COMPUTED_VALUE"""),"3.5 m")</f>
        <v>3.5 m</v>
      </c>
    </row>
    <row r="416" spans="1:15" ht="15.75" customHeight="1" x14ac:dyDescent="0.25">
      <c r="A416" s="8" t="str">
        <f ca="1">IFERROR(__xludf.DUMMYFUNCTION("""COMPUTED_VALUE"""),"TA 2873/18")</f>
        <v>TA 2873/18</v>
      </c>
      <c r="B416" s="8" t="str">
        <f ca="1">IFERROR(__xludf.DUMMYFUNCTION("""COMPUTED_VALUE"""),"Oil Product Tanker")</f>
        <v>Oil Product Tanker</v>
      </c>
      <c r="C416" s="9">
        <f ca="1">IFERROR(__xludf.DUMMYFUNCTION("""COMPUTED_VALUE"""),2873)</f>
        <v>2873</v>
      </c>
      <c r="D416" s="8" t="str">
        <f ca="1">IFERROR(__xludf.DUMMYFUNCTION("""COMPUTED_VALUE"""),"2018-China")</f>
        <v>2018-China</v>
      </c>
      <c r="E416" s="8" t="str">
        <f ca="1">IFERROR(__xludf.DUMMYFUNCTION("""COMPUTED_VALUE"""),"86.00 x 13.60")</f>
        <v>86.00 x 13.60</v>
      </c>
      <c r="F416" s="8" t="str">
        <f ca="1">IFERROR(__xludf.DUMMYFUNCTION("""COMPUTED_VALUE"""),"12")</f>
        <v>12</v>
      </c>
      <c r="G416" s="8">
        <f ca="1">IFERROR(__xludf.DUMMYFUNCTION("""COMPUTED_VALUE"""),3331)</f>
        <v>3331</v>
      </c>
      <c r="H416" s="8" t="str">
        <f ca="1">IFERROR(__xludf.DUMMYFUNCTION("""COMPUTED_VALUE"""),"N/Y Epoxy")</f>
        <v>N/Y Epoxy</v>
      </c>
      <c r="I416" s="8" t="str">
        <f ca="1">IFERROR(__xludf.DUMMYFUNCTION("""COMPUTED_VALUE"""),"2 x 300")</f>
        <v>2 x 300</v>
      </c>
      <c r="J416" s="8" t="str">
        <f ca="1">IFERROR(__xludf.DUMMYFUNCTION("""COMPUTED_VALUE"""),"Chinese Std")</f>
        <v>Chinese Std</v>
      </c>
      <c r="K416" s="8" t="str">
        <f ca="1">IFERROR(__xludf.DUMMYFUNCTION("""COMPUTED_VALUE"""),"-")</f>
        <v>-</v>
      </c>
      <c r="L416" s="8" t="str">
        <f ca="1">IFERROR(__xludf.DUMMYFUNCTION("""COMPUTED_VALUE"""),"To be chkd")</f>
        <v>To be chkd</v>
      </c>
      <c r="M416" s="8" t="str">
        <f ca="1">IFERROR(__xludf.DUMMYFUNCTION("""COMPUTED_VALUE"""),"ICS Class")</f>
        <v>ICS Class</v>
      </c>
      <c r="N416" s="8" t="str">
        <f ca="1">IFERROR(__xludf.DUMMYFUNCTION("""COMPUTED_VALUE"""),"China")</f>
        <v>China</v>
      </c>
      <c r="O416" s="8" t="str">
        <f ca="1">IFERROR(__xludf.DUMMYFUNCTION("""COMPUTED_VALUE"""),"B.offers")</f>
        <v>B.offers</v>
      </c>
    </row>
    <row r="417" spans="1:15" ht="15.75" customHeight="1" x14ac:dyDescent="0.25">
      <c r="A417" s="8" t="str">
        <f ca="1">IFERROR(__xludf.DUMMYFUNCTION("""COMPUTED_VALUE"""),"TA 2774/92")</f>
        <v>TA 2774/92</v>
      </c>
      <c r="B417" s="8" t="str">
        <f ca="1">IFERROR(__xludf.DUMMYFUNCTION("""COMPUTED_VALUE"""),"Bunkering Tanker")</f>
        <v>Bunkering Tanker</v>
      </c>
      <c r="C417" s="9">
        <f ca="1">IFERROR(__xludf.DUMMYFUNCTION("""COMPUTED_VALUE"""),2774)</f>
        <v>2774</v>
      </c>
      <c r="D417" s="8" t="str">
        <f ca="1">IFERROR(__xludf.DUMMYFUNCTION("""COMPUTED_VALUE"""),"1992-Denmark")</f>
        <v>1992-Denmark</v>
      </c>
      <c r="E417" s="8" t="str">
        <f ca="1">IFERROR(__xludf.DUMMYFUNCTION("""COMPUTED_VALUE"""),"79.00 x 13.00")</f>
        <v>79.00 x 13.00</v>
      </c>
      <c r="F417" s="8" t="str">
        <f ca="1">IFERROR(__xludf.DUMMYFUNCTION("""COMPUTED_VALUE"""),"12")</f>
        <v>12</v>
      </c>
      <c r="G417" s="8">
        <f ca="1">IFERROR(__xludf.DUMMYFUNCTION("""COMPUTED_VALUE"""),2666)</f>
        <v>2666</v>
      </c>
      <c r="H417" s="8" t="str">
        <f ca="1">IFERROR(__xludf.DUMMYFUNCTION("""COMPUTED_VALUE"""),"Y stst/Y Hempel")</f>
        <v>Y stst/Y Hempel</v>
      </c>
      <c r="I417" s="8" t="str">
        <f ca="1">IFERROR(__xludf.DUMMYFUNCTION("""COMPUTED_VALUE"""),"10 x 80")</f>
        <v>10 x 80</v>
      </c>
      <c r="J417" s="8" t="str">
        <f ca="1">IFERROR(__xludf.DUMMYFUNCTION("""COMPUTED_VALUE"""),"B&amp;W")</f>
        <v>B&amp;W</v>
      </c>
      <c r="K417" s="8" t="str">
        <f ca="1">IFERROR(__xludf.DUMMYFUNCTION("""COMPUTED_VALUE"""),"12 k")</f>
        <v>12 k</v>
      </c>
      <c r="L417" s="8" t="str">
        <f ca="1">IFERROR(__xludf.DUMMYFUNCTION("""COMPUTED_VALUE"""),"To be chkd")</f>
        <v>To be chkd</v>
      </c>
      <c r="M417" s="8" t="str">
        <f ca="1">IFERROR(__xludf.DUMMYFUNCTION("""COMPUTED_VALUE"""),"RI 1/28D")</f>
        <v>RI 1/28D</v>
      </c>
      <c r="N417" s="8" t="str">
        <f ca="1">IFERROR(__xludf.DUMMYFUNCTION("""COMPUTED_VALUE"""),"Baltic/Cont")</f>
        <v>Baltic/Cont</v>
      </c>
      <c r="O417" s="8" t="str">
        <f ca="1">IFERROR(__xludf.DUMMYFUNCTION("""COMPUTED_VALUE"""),"B.offers")</f>
        <v>B.offers</v>
      </c>
    </row>
    <row r="418" spans="1:15" ht="15.75" customHeight="1" x14ac:dyDescent="0.25">
      <c r="A418" s="8" t="str">
        <f ca="1">IFERROR(__xludf.DUMMYFUNCTION("""COMPUTED_VALUE"""),"TA 2772/96")</f>
        <v>TA 2772/96</v>
      </c>
      <c r="B418" s="8" t="str">
        <f ca="1">IFERROR(__xludf.DUMMYFUNCTION("""COMPUTED_VALUE"""),"Bunkering Tanker")</f>
        <v>Bunkering Tanker</v>
      </c>
      <c r="C418" s="9">
        <f ca="1">IFERROR(__xludf.DUMMYFUNCTION("""COMPUTED_VALUE"""),2772)</f>
        <v>2772</v>
      </c>
      <c r="D418" s="8" t="str">
        <f ca="1">IFERROR(__xludf.DUMMYFUNCTION("""COMPUTED_VALUE"""),"1996-UK")</f>
        <v>1996-UK</v>
      </c>
      <c r="E418" s="8" t="str">
        <f ca="1">IFERROR(__xludf.DUMMYFUNCTION("""COMPUTED_VALUE"""),"75.00 x 12.50")</f>
        <v>75.00 x 12.50</v>
      </c>
      <c r="F418" s="8" t="str">
        <f ca="1">IFERROR(__xludf.DUMMYFUNCTION("""COMPUTED_VALUE"""),"8")</f>
        <v>8</v>
      </c>
      <c r="G418" s="8">
        <f ca="1">IFERROR(__xludf.DUMMYFUNCTION("""COMPUTED_VALUE"""),2499)</f>
        <v>2499</v>
      </c>
      <c r="H418" s="8" t="str">
        <f ca="1">IFERROR(__xludf.DUMMYFUNCTION("""COMPUTED_VALUE"""),"Thermal Oil/Y Ep")</f>
        <v>Thermal Oil/Y Ep</v>
      </c>
      <c r="I418" s="8" t="str">
        <f ca="1">IFERROR(__xludf.DUMMYFUNCTION("""COMPUTED_VALUE"""),"1x450+2x250")</f>
        <v>1x450+2x250</v>
      </c>
      <c r="J418" s="8" t="str">
        <f ca="1">IFERROR(__xludf.DUMMYFUNCTION("""COMPUTED_VALUE"""),"Cummins")</f>
        <v>Cummins</v>
      </c>
      <c r="K418" s="8" t="str">
        <f ca="1">IFERROR(__xludf.DUMMYFUNCTION("""COMPUTED_VALUE"""),"12-10 k")</f>
        <v>12-10 k</v>
      </c>
      <c r="L418" s="8" t="str">
        <f ca="1">IFERROR(__xludf.DUMMYFUNCTION("""COMPUTED_VALUE"""),"To be chkd")</f>
        <v>To be chkd</v>
      </c>
      <c r="M418" s="8" t="str">
        <f ca="1">IFERROR(__xludf.DUMMYFUNCTION("""COMPUTED_VALUE"""),"LR 8/26D")</f>
        <v>LR 8/26D</v>
      </c>
      <c r="N418" s="8" t="str">
        <f ca="1">IFERROR(__xludf.DUMMYFUNCTION("""COMPUTED_VALUE"""),"UK/Cont")</f>
        <v>UK/Cont</v>
      </c>
      <c r="O418" s="8" t="str">
        <f ca="1">IFERROR(__xludf.DUMMYFUNCTION("""COMPUTED_VALUE"""),"Eur 2.5 m")</f>
        <v>Eur 2.5 m</v>
      </c>
    </row>
    <row r="419" spans="1:15" ht="15.75" customHeight="1" x14ac:dyDescent="0.25">
      <c r="A419" s="8" t="str">
        <f ca="1">IFERROR(__xludf.DUMMYFUNCTION("""COMPUTED_VALUE"""),"TA 2700/99")</f>
        <v>TA 2700/99</v>
      </c>
      <c r="B419" s="8" t="str">
        <f ca="1">IFERROR(__xludf.DUMMYFUNCTION("""COMPUTED_VALUE"""),"Clean Tanker")</f>
        <v>Clean Tanker</v>
      </c>
      <c r="C419" s="9">
        <f ca="1">IFERROR(__xludf.DUMMYFUNCTION("""COMPUTED_VALUE"""),2700)</f>
        <v>2700</v>
      </c>
      <c r="D419" s="8" t="str">
        <f ca="1">IFERROR(__xludf.DUMMYFUNCTION("""COMPUTED_VALUE"""),"1999-Japan")</f>
        <v>1999-Japan</v>
      </c>
      <c r="E419" s="8" t="str">
        <f ca="1">IFERROR(__xludf.DUMMYFUNCTION("""COMPUTED_VALUE"""),"79.97 x 13.20")</f>
        <v>79.97 x 13.20</v>
      </c>
      <c r="F419" s="8" t="str">
        <f ca="1">IFERROR(__xludf.DUMMYFUNCTION("""COMPUTED_VALUE"""),"10")</f>
        <v>10</v>
      </c>
      <c r="G419" s="8">
        <f ca="1">IFERROR(__xludf.DUMMYFUNCTION("""COMPUTED_VALUE"""),3032)</f>
        <v>3032</v>
      </c>
      <c r="H419" s="8" t="str">
        <f ca="1">IFERROR(__xludf.DUMMYFUNCTION("""COMPUTED_VALUE"""),"N/Y Epoxy")</f>
        <v>N/Y Epoxy</v>
      </c>
      <c r="I419" s="8" t="str">
        <f ca="1">IFERROR(__xludf.DUMMYFUNCTION("""COMPUTED_VALUE"""),"2 x 700")</f>
        <v>2 x 700</v>
      </c>
      <c r="J419" s="8" t="str">
        <f ca="1">IFERROR(__xludf.DUMMYFUNCTION("""COMPUTED_VALUE"""),"Hanshin")</f>
        <v>Hanshin</v>
      </c>
      <c r="K419" s="8" t="str">
        <f ca="1">IFERROR(__xludf.DUMMYFUNCTION("""COMPUTED_VALUE"""),"-")</f>
        <v>-</v>
      </c>
      <c r="L419" s="8" t="str">
        <f ca="1">IFERROR(__xludf.DUMMYFUNCTION("""COMPUTED_VALUE"""),"To be chkd")</f>
        <v>To be chkd</v>
      </c>
      <c r="M419" s="8" t="str">
        <f ca="1">IFERROR(__xludf.DUMMYFUNCTION("""COMPUTED_VALUE"""),"KR Class")</f>
        <v>KR Class</v>
      </c>
      <c r="N419" s="8" t="str">
        <f ca="1">IFERROR(__xludf.DUMMYFUNCTION("""COMPUTED_VALUE"""),"Korea Dom")</f>
        <v>Korea Dom</v>
      </c>
      <c r="O419" s="8" t="str">
        <f ca="1">IFERROR(__xludf.DUMMYFUNCTION("""COMPUTED_VALUE"""),"B.offers")</f>
        <v>B.offers</v>
      </c>
    </row>
    <row r="420" spans="1:15" ht="15.75" customHeight="1" x14ac:dyDescent="0.25">
      <c r="A420" s="8" t="str">
        <f ca="1">IFERROR(__xludf.DUMMYFUNCTION("""COMPUTED_VALUE"""),"TA 2698/93")</f>
        <v>TA 2698/93</v>
      </c>
      <c r="B420" s="8" t="str">
        <f ca="1">IFERROR(__xludf.DUMMYFUNCTION("""COMPUTED_VALUE"""),"Bunkering /Oil Recov.stst Tk")</f>
        <v>Bunkering /Oil Recov.stst Tk</v>
      </c>
      <c r="C420" s="9">
        <f ca="1">IFERROR(__xludf.DUMMYFUNCTION("""COMPUTED_VALUE"""),2698)</f>
        <v>2698</v>
      </c>
      <c r="D420" s="8" t="str">
        <f ca="1">IFERROR(__xludf.DUMMYFUNCTION("""COMPUTED_VALUE"""),"1993-Italy")</f>
        <v>1993-Italy</v>
      </c>
      <c r="E420" s="8" t="str">
        <f ca="1">IFERROR(__xludf.DUMMYFUNCTION("""COMPUTED_VALUE"""),"89.60 x 13.80")</f>
        <v>89.60 x 13.80</v>
      </c>
      <c r="F420" s="8" t="str">
        <f ca="1">IFERROR(__xludf.DUMMYFUNCTION("""COMPUTED_VALUE"""),"14")</f>
        <v>14</v>
      </c>
      <c r="G420" s="8">
        <f ca="1">IFERROR(__xludf.DUMMYFUNCTION("""COMPUTED_VALUE"""),2969)</f>
        <v>2969</v>
      </c>
      <c r="H420" s="8" t="str">
        <f ca="1">IFERROR(__xludf.DUMMYFUNCTION("""COMPUTED_VALUE"""),"Y stst / Y stst")</f>
        <v>Y stst / Y stst</v>
      </c>
      <c r="I420" s="8" t="str">
        <f ca="1">IFERROR(__xludf.DUMMYFUNCTION("""COMPUTED_VALUE"""),"14 x 150")</f>
        <v>14 x 150</v>
      </c>
      <c r="J420" s="8" t="str">
        <f ca="1">IFERROR(__xludf.DUMMYFUNCTION("""COMPUTED_VALUE"""),"Yanmar")</f>
        <v>Yanmar</v>
      </c>
      <c r="K420" s="8" t="str">
        <f ca="1">IFERROR(__xludf.DUMMYFUNCTION("""COMPUTED_VALUE"""),"13.5 kn")</f>
        <v>13.5 kn</v>
      </c>
      <c r="L420" s="8" t="str">
        <f ca="1">IFERROR(__xludf.DUMMYFUNCTION("""COMPUTED_VALUE"""),"To be chkd")</f>
        <v>To be chkd</v>
      </c>
      <c r="M420" s="8" t="str">
        <f ca="1">IFERROR(__xludf.DUMMYFUNCTION("""COMPUTED_VALUE"""),"RINA 7/28D")</f>
        <v>RINA 7/28D</v>
      </c>
      <c r="N420" s="8" t="str">
        <f ca="1">IFERROR(__xludf.DUMMYFUNCTION("""COMPUTED_VALUE"""),"Varna, Bulg.")</f>
        <v>Varna, Bulg.</v>
      </c>
      <c r="O420" s="8" t="str">
        <f ca="1">IFERROR(__xludf.DUMMYFUNCTION("""COMPUTED_VALUE"""),"B.offers")</f>
        <v>B.offers</v>
      </c>
    </row>
    <row r="421" spans="1:15" ht="15.75" customHeight="1" x14ac:dyDescent="0.25">
      <c r="A421" s="8" t="str">
        <f ca="1">IFERROR(__xludf.DUMMYFUNCTION("""COMPUTED_VALUE"""),"TA 2684/96")</f>
        <v>TA 2684/96</v>
      </c>
      <c r="B421" s="8" t="str">
        <f ca="1">IFERROR(__xludf.DUMMYFUNCTION("""COMPUTED_VALUE"""),"IMO II Coastal Tanker")</f>
        <v>IMO II Coastal Tanker</v>
      </c>
      <c r="C421" s="9">
        <f ca="1">IFERROR(__xludf.DUMMYFUNCTION("""COMPUTED_VALUE"""),2684)</f>
        <v>2684</v>
      </c>
      <c r="D421" s="8" t="str">
        <f ca="1">IFERROR(__xludf.DUMMYFUNCTION("""COMPUTED_VALUE"""),"1996-Japan")</f>
        <v>1996-Japan</v>
      </c>
      <c r="E421" s="8" t="str">
        <f ca="1">IFERROR(__xludf.DUMMYFUNCTION("""COMPUTED_VALUE"""),"67.99 x 13.00")</f>
        <v>67.99 x 13.00</v>
      </c>
      <c r="F421" s="8" t="str">
        <f ca="1">IFERROR(__xludf.DUMMYFUNCTION("""COMPUTED_VALUE"""),"10")</f>
        <v>10</v>
      </c>
      <c r="G421" s="8">
        <f ca="1">IFERROR(__xludf.DUMMYFUNCTION("""COMPUTED_VALUE"""),2145)</f>
        <v>2145</v>
      </c>
      <c r="H421" s="8" t="str">
        <f ca="1">IFERROR(__xludf.DUMMYFUNCTION("""COMPUTED_VALUE"""),"?/?")</f>
        <v>?/?</v>
      </c>
      <c r="I421" s="8" t="str">
        <f ca="1">IFERROR(__xludf.DUMMYFUNCTION("""COMPUTED_VALUE"""),"2 x 750")</f>
        <v>2 x 750</v>
      </c>
      <c r="J421" s="8" t="str">
        <f ca="1">IFERROR(__xludf.DUMMYFUNCTION("""COMPUTED_VALUE"""),"Niigata")</f>
        <v>Niigata</v>
      </c>
      <c r="K421" s="8" t="str">
        <f ca="1">IFERROR(__xludf.DUMMYFUNCTION("""COMPUTED_VALUE"""),"11.5")</f>
        <v>11.5</v>
      </c>
      <c r="L421" s="8" t="str">
        <f ca="1">IFERROR(__xludf.DUMMYFUNCTION("""COMPUTED_VALUE"""),"No")</f>
        <v>No</v>
      </c>
      <c r="M421" s="8" t="str">
        <f ca="1">IFERROR(__xludf.DUMMYFUNCTION("""COMPUTED_VALUE"""),"KR 12/26D")</f>
        <v>KR 12/26D</v>
      </c>
      <c r="N421" s="8" t="str">
        <f ca="1">IFERROR(__xludf.DUMMYFUNCTION("""COMPUTED_VALUE"""),"Korea")</f>
        <v>Korea</v>
      </c>
      <c r="O421" s="8" t="str">
        <f ca="1">IFERROR(__xludf.DUMMYFUNCTION("""COMPUTED_VALUE"""),"1.1-1.0 m")</f>
        <v>1.1-1.0 m</v>
      </c>
    </row>
    <row r="422" spans="1:15" ht="15.75" customHeight="1" x14ac:dyDescent="0.25">
      <c r="A422" s="8" t="str">
        <f ca="1">IFERROR(__xludf.DUMMYFUNCTION("""COMPUTED_VALUE"""),"TA 2676/99")</f>
        <v>TA 2676/99</v>
      </c>
      <c r="B422" s="8" t="str">
        <f ca="1">IFERROR(__xludf.DUMMYFUNCTION("""COMPUTED_VALUE"""),"CPP Coastal Tanker")</f>
        <v>CPP Coastal Tanker</v>
      </c>
      <c r="C422" s="9">
        <f ca="1">IFERROR(__xludf.DUMMYFUNCTION("""COMPUTED_VALUE"""),2676)</f>
        <v>2676</v>
      </c>
      <c r="D422" s="8" t="str">
        <f ca="1">IFERROR(__xludf.DUMMYFUNCTION("""COMPUTED_VALUE"""),"1999-Japan")</f>
        <v>1999-Japan</v>
      </c>
      <c r="E422" s="8" t="str">
        <f ca="1">IFERROR(__xludf.DUMMYFUNCTION("""COMPUTED_VALUE"""),"79.97 x 13.20")</f>
        <v>79.97 x 13.20</v>
      </c>
      <c r="F422" s="8" t="str">
        <f ca="1">IFERROR(__xludf.DUMMYFUNCTION("""COMPUTED_VALUE"""),"10")</f>
        <v>10</v>
      </c>
      <c r="G422" s="8">
        <f ca="1">IFERROR(__xludf.DUMMYFUNCTION("""COMPUTED_VALUE"""),2441)</f>
        <v>2441</v>
      </c>
      <c r="H422" s="8" t="str">
        <f ca="1">IFERROR(__xludf.DUMMYFUNCTION("""COMPUTED_VALUE"""),"N/?")</f>
        <v>N/?</v>
      </c>
      <c r="I422" s="8" t="str">
        <f ca="1">IFERROR(__xludf.DUMMYFUNCTION("""COMPUTED_VALUE"""),"2 x 700")</f>
        <v>2 x 700</v>
      </c>
      <c r="J422" s="8" t="str">
        <f ca="1">IFERROR(__xludf.DUMMYFUNCTION("""COMPUTED_VALUE"""),"Hanshin")</f>
        <v>Hanshin</v>
      </c>
      <c r="K422" s="8" t="str">
        <f ca="1">IFERROR(__xludf.DUMMYFUNCTION("""COMPUTED_VALUE"""),"12.8 k")</f>
        <v>12.8 k</v>
      </c>
      <c r="L422" s="8" t="str">
        <f ca="1">IFERROR(__xludf.DUMMYFUNCTION("""COMPUTED_VALUE"""),"To be chkd")</f>
        <v>To be chkd</v>
      </c>
      <c r="M422" s="8" t="str">
        <f ca="1">IFERROR(__xludf.DUMMYFUNCTION("""COMPUTED_VALUE"""),"KR 2/27D")</f>
        <v>KR 2/27D</v>
      </c>
      <c r="N422" s="8" t="str">
        <f ca="1">IFERROR(__xludf.DUMMYFUNCTION("""COMPUTED_VALUE"""),"China")</f>
        <v>China</v>
      </c>
      <c r="O422" s="8" t="str">
        <f ca="1">IFERROR(__xludf.DUMMYFUNCTION("""COMPUTED_VALUE"""),"B.offers")</f>
        <v>B.offers</v>
      </c>
    </row>
    <row r="423" spans="1:15" ht="15.75" customHeight="1" x14ac:dyDescent="0.25">
      <c r="A423" s="8" t="str">
        <f ca="1">IFERROR(__xludf.DUMMYFUNCTION("""COMPUTED_VALUE"""),"TA 2609/18")</f>
        <v>TA 2609/18</v>
      </c>
      <c r="B423" s="8" t="str">
        <f ca="1">IFERROR(__xludf.DUMMYFUNCTION("""COMPUTED_VALUE"""),"Chemical Tanker")</f>
        <v>Chemical Tanker</v>
      </c>
      <c r="C423" s="9">
        <f ca="1">IFERROR(__xludf.DUMMYFUNCTION("""COMPUTED_VALUE"""),2609)</f>
        <v>2609</v>
      </c>
      <c r="D423" s="8" t="str">
        <f ca="1">IFERROR(__xludf.DUMMYFUNCTION("""COMPUTED_VALUE"""),"2018-China")</f>
        <v>2018-China</v>
      </c>
      <c r="E423" s="8" t="str">
        <f ca="1">IFERROR(__xludf.DUMMYFUNCTION("""COMPUTED_VALUE"""),"86.00 x 13.60")</f>
        <v>86.00 x 13.60</v>
      </c>
      <c r="F423" s="8" t="str">
        <f ca="1">IFERROR(__xludf.DUMMYFUNCTION("""COMPUTED_VALUE"""),"12")</f>
        <v>12</v>
      </c>
      <c r="G423" s="8">
        <f ca="1">IFERROR(__xludf.DUMMYFUNCTION("""COMPUTED_VALUE"""),3547)</f>
        <v>3547</v>
      </c>
      <c r="H423" s="8" t="str">
        <f ca="1">IFERROR(__xludf.DUMMYFUNCTION("""COMPUTED_VALUE"""),"N/Y Epoxy")</f>
        <v>N/Y Epoxy</v>
      </c>
      <c r="I423" s="8" t="str">
        <f ca="1">IFERROR(__xludf.DUMMYFUNCTION("""COMPUTED_VALUE"""),"1 x 160")</f>
        <v>1 x 160</v>
      </c>
      <c r="J423" s="8" t="str">
        <f ca="1">IFERROR(__xludf.DUMMYFUNCTION("""COMPUTED_VALUE"""),"Ningbo")</f>
        <v>Ningbo</v>
      </c>
      <c r="K423" s="8" t="str">
        <f ca="1">IFERROR(__xludf.DUMMYFUNCTION("""COMPUTED_VALUE"""),"-")</f>
        <v>-</v>
      </c>
      <c r="L423" s="8" t="str">
        <f ca="1">IFERROR(__xludf.DUMMYFUNCTION("""COMPUTED_VALUE"""),"To be chkd")</f>
        <v>To be chkd</v>
      </c>
      <c r="M423" s="8" t="str">
        <f ca="1">IFERROR(__xludf.DUMMYFUNCTION("""COMPUTED_VALUE"""),"CCS 5/23P")</f>
        <v>CCS 5/23P</v>
      </c>
      <c r="N423" s="8" t="str">
        <f ca="1">IFERROR(__xludf.DUMMYFUNCTION("""COMPUTED_VALUE"""),"China")</f>
        <v>China</v>
      </c>
      <c r="O423" s="8" t="str">
        <f ca="1">IFERROR(__xludf.DUMMYFUNCTION("""COMPUTED_VALUE"""),"B.offers")</f>
        <v>B.offers</v>
      </c>
    </row>
    <row r="424" spans="1:15" ht="15.75" customHeight="1" x14ac:dyDescent="0.25">
      <c r="A424" s="8" t="str">
        <f ca="1">IFERROR(__xludf.DUMMYFUNCTION("""COMPUTED_VALUE"""),"TA 2551/19")</f>
        <v>TA 2551/19</v>
      </c>
      <c r="B424" s="8" t="str">
        <f ca="1">IFERROR(__xludf.DUMMYFUNCTION("""COMPUTED_VALUE"""),"Oil Products Tanker")</f>
        <v>Oil Products Tanker</v>
      </c>
      <c r="C424" s="9">
        <f ca="1">IFERROR(__xludf.DUMMYFUNCTION("""COMPUTED_VALUE"""),2551)</f>
        <v>2551</v>
      </c>
      <c r="D424" s="8" t="str">
        <f ca="1">IFERROR(__xludf.DUMMYFUNCTION("""COMPUTED_VALUE"""),"2019-Japan")</f>
        <v>2019-Japan</v>
      </c>
      <c r="E424" s="8" t="str">
        <f ca="1">IFERROR(__xludf.DUMMYFUNCTION("""COMPUTED_VALUE"""),"70.25 x 12.00")</f>
        <v>70.25 x 12.00</v>
      </c>
      <c r="F424" s="8" t="str">
        <f ca="1">IFERROR(__xludf.DUMMYFUNCTION("""COMPUTED_VALUE"""),"-")</f>
        <v>-</v>
      </c>
      <c r="G424" s="8">
        <f ca="1">IFERROR(__xludf.DUMMYFUNCTION("""COMPUTED_VALUE"""),2567)</f>
        <v>2567</v>
      </c>
      <c r="H424" s="8" t="str">
        <f ca="1">IFERROR(__xludf.DUMMYFUNCTION("""COMPUTED_VALUE"""),"?/?")</f>
        <v>?/?</v>
      </c>
      <c r="I424" s="8" t="str">
        <f ca="1">IFERROR(__xludf.DUMMYFUNCTION("""COMPUTED_VALUE"""),"?")</f>
        <v>?</v>
      </c>
      <c r="J424" s="8" t="str">
        <f ca="1">IFERROR(__xludf.DUMMYFUNCTION("""COMPUTED_VALUE"""),"Akasaka")</f>
        <v>Akasaka</v>
      </c>
      <c r="K424" s="8" t="str">
        <f ca="1">IFERROR(__xludf.DUMMYFUNCTION("""COMPUTED_VALUE"""),"12 k")</f>
        <v>12 k</v>
      </c>
      <c r="L424" s="8" t="str">
        <f ca="1">IFERROR(__xludf.DUMMYFUNCTION("""COMPUTED_VALUE"""),"To be chkd")</f>
        <v>To be chkd</v>
      </c>
      <c r="M424" s="8" t="str">
        <f ca="1">IFERROR(__xludf.DUMMYFUNCTION("""COMPUTED_VALUE"""),"RINA Class")</f>
        <v>RINA Class</v>
      </c>
      <c r="N424" s="8" t="str">
        <f ca="1">IFERROR(__xludf.DUMMYFUNCTION("""COMPUTED_VALUE"""),"Korea")</f>
        <v>Korea</v>
      </c>
      <c r="O424" s="8" t="str">
        <f ca="1">IFERROR(__xludf.DUMMYFUNCTION("""COMPUTED_VALUE"""),"B.offers")</f>
        <v>B.offers</v>
      </c>
    </row>
    <row r="425" spans="1:15" ht="15.75" customHeight="1" x14ac:dyDescent="0.25">
      <c r="A425" s="8" t="str">
        <f ca="1">IFERROR(__xludf.DUMMYFUNCTION("""COMPUTED_VALUE"""),"TA 2515/92")</f>
        <v>TA 2515/92</v>
      </c>
      <c r="B425" s="8" t="str">
        <f ca="1">IFERROR(__xludf.DUMMYFUNCTION("""COMPUTED_VALUE"""),"Sea-River Shallow Draft Chemical")</f>
        <v>Sea-River Shallow Draft Chemical</v>
      </c>
      <c r="C425" s="9">
        <f ca="1">IFERROR(__xludf.DUMMYFUNCTION("""COMPUTED_VALUE"""),2515)</f>
        <v>2515</v>
      </c>
      <c r="D425" s="8" t="str">
        <f ca="1">IFERROR(__xludf.DUMMYFUNCTION("""COMPUTED_VALUE"""),"1992-Holland")</f>
        <v>1992-Holland</v>
      </c>
      <c r="E425" s="8" t="str">
        <f ca="1">IFERROR(__xludf.DUMMYFUNCTION("""COMPUTED_VALUE"""),"114.00 x 16.00")</f>
        <v>114.00 x 16.00</v>
      </c>
      <c r="F425" s="8" t="str">
        <f ca="1">IFERROR(__xludf.DUMMYFUNCTION("""COMPUTED_VALUE"""),"9")</f>
        <v>9</v>
      </c>
      <c r="G425" s="8">
        <f ca="1">IFERROR(__xludf.DUMMYFUNCTION("""COMPUTED_VALUE"""),3173)</f>
        <v>3173</v>
      </c>
      <c r="H425" s="8" t="str">
        <f ca="1">IFERROR(__xludf.DUMMYFUNCTION("""COMPUTED_VALUE"""),"Y/Y Hempell")</f>
        <v>Y/Y Hempell</v>
      </c>
      <c r="I425" s="8" t="str">
        <f ca="1">IFERROR(__xludf.DUMMYFUNCTION("""COMPUTED_VALUE"""),"8 x 100 + 9 x 15 cbm/hr")</f>
        <v>8 x 100 + 9 x 15 cbm/hr</v>
      </c>
      <c r="J425" s="8" t="str">
        <f ca="1">IFERROR(__xludf.DUMMYFUNCTION("""COMPUTED_VALUE"""),"MAK")</f>
        <v>MAK</v>
      </c>
      <c r="K425" s="8" t="str">
        <f ca="1">IFERROR(__xludf.DUMMYFUNCTION("""COMPUTED_VALUE"""),"12-10 k")</f>
        <v>12-10 k</v>
      </c>
      <c r="L425" s="8" t="str">
        <f ca="1">IFERROR(__xludf.DUMMYFUNCTION("""COMPUTED_VALUE"""),"No")</f>
        <v>No</v>
      </c>
      <c r="M425" s="8" t="str">
        <f ca="1">IFERROR(__xludf.DUMMYFUNCTION("""COMPUTED_VALUE"""),"LR 1/27D")</f>
        <v>LR 1/27D</v>
      </c>
      <c r="N425" s="8" t="str">
        <f ca="1">IFERROR(__xludf.DUMMYFUNCTION("""COMPUTED_VALUE"""),"Paraguay")</f>
        <v>Paraguay</v>
      </c>
      <c r="O425" s="8" t="str">
        <f ca="1">IFERROR(__xludf.DUMMYFUNCTION("""COMPUTED_VALUE"""),"2.7 m")</f>
        <v>2.7 m</v>
      </c>
    </row>
    <row r="426" spans="1:15" ht="15.75" customHeight="1" x14ac:dyDescent="0.25">
      <c r="A426" s="8" t="str">
        <f ca="1">IFERROR(__xludf.DUMMYFUNCTION("""COMPUTED_VALUE"""),"TA 2412/10")</f>
        <v>TA 2412/10</v>
      </c>
      <c r="B426" s="8" t="str">
        <f ca="1">IFERROR(__xludf.DUMMYFUNCTION("""COMPUTED_VALUE"""),"Chemical/Oil/Bunkering")</f>
        <v>Chemical/Oil/Bunkering</v>
      </c>
      <c r="C426" s="9">
        <f ca="1">IFERROR(__xludf.DUMMYFUNCTION("""COMPUTED_VALUE"""),2412)</f>
        <v>2412</v>
      </c>
      <c r="D426" s="8" t="str">
        <f ca="1">IFERROR(__xludf.DUMMYFUNCTION("""COMPUTED_VALUE"""),"2010-Turkey")</f>
        <v>2010-Turkey</v>
      </c>
      <c r="E426" s="8" t="str">
        <f ca="1">IFERROR(__xludf.DUMMYFUNCTION("""COMPUTED_VALUE"""),"79.90 x 11.50")</f>
        <v>79.90 x 11.50</v>
      </c>
      <c r="F426" s="8" t="str">
        <f ca="1">IFERROR(__xludf.DUMMYFUNCTION("""COMPUTED_VALUE"""),"12")</f>
        <v>12</v>
      </c>
      <c r="G426" s="8">
        <f ca="1">IFERROR(__xludf.DUMMYFUNCTION("""COMPUTED_VALUE"""),2358)</f>
        <v>2358</v>
      </c>
      <c r="H426" s="8" t="str">
        <f ca="1">IFERROR(__xludf.DUMMYFUNCTION("""COMPUTED_VALUE"""),"Y stst/Y Marinel.")</f>
        <v>Y stst/Y Marinel.</v>
      </c>
      <c r="I426" s="8" t="str">
        <f ca="1">IFERROR(__xludf.DUMMYFUNCTION("""COMPUTED_VALUE"""),"2 x 300+1 x 50")</f>
        <v>2 x 300+1 x 50</v>
      </c>
      <c r="J426" s="8" t="str">
        <f ca="1">IFERROR(__xludf.DUMMYFUNCTION("""COMPUTED_VALUE"""),"Wartsila")</f>
        <v>Wartsila</v>
      </c>
      <c r="K426" s="8" t="str">
        <f ca="1">IFERROR(__xludf.DUMMYFUNCTION("""COMPUTED_VALUE"""),"11 k")</f>
        <v>11 k</v>
      </c>
      <c r="L426" s="8" t="str">
        <f ca="1">IFERROR(__xludf.DUMMYFUNCTION("""COMPUTED_VALUE"""),"To be chkd")</f>
        <v>To be chkd</v>
      </c>
      <c r="M426" s="8" t="str">
        <f ca="1">IFERROR(__xludf.DUMMYFUNCTION("""COMPUTED_VALUE"""),"RINA 1/25P")</f>
        <v>RINA 1/25P</v>
      </c>
      <c r="N426" s="8" t="str">
        <f ca="1">IFERROR(__xludf.DUMMYFUNCTION("""COMPUTED_VALUE"""),"Med/B.Sea")</f>
        <v>Med/B.Sea</v>
      </c>
      <c r="O426" s="8" t="str">
        <f ca="1">IFERROR(__xludf.DUMMYFUNCTION("""COMPUTED_VALUE"""),"EUR 7.0 m")</f>
        <v>EUR 7.0 m</v>
      </c>
    </row>
    <row r="427" spans="1:15" ht="15.75" customHeight="1" x14ac:dyDescent="0.25">
      <c r="A427" s="8" t="str">
        <f ca="1">IFERROR(__xludf.DUMMYFUNCTION("""COMPUTED_VALUE"""),"TA 2380/03")</f>
        <v>TA 2380/03</v>
      </c>
      <c r="B427" s="8" t="str">
        <f ca="1">IFERROR(__xludf.DUMMYFUNCTION("""COMPUTED_VALUE"""),"Coastal IMO 2 DPP Bunker ")</f>
        <v xml:space="preserve">Coastal IMO 2 DPP Bunker </v>
      </c>
      <c r="C427" s="9">
        <f ca="1">IFERROR(__xludf.DUMMYFUNCTION("""COMPUTED_VALUE"""),2380)</f>
        <v>2380</v>
      </c>
      <c r="D427" s="8" t="str">
        <f ca="1">IFERROR(__xludf.DUMMYFUNCTION("""COMPUTED_VALUE"""),"2003-Japan")</f>
        <v>2003-Japan</v>
      </c>
      <c r="E427" s="8" t="str">
        <f ca="1">IFERROR(__xludf.DUMMYFUNCTION("""COMPUTED_VALUE"""),"79.90 x 12.00")</f>
        <v>79.90 x 12.00</v>
      </c>
      <c r="F427" s="8" t="str">
        <f ca="1">IFERROR(__xludf.DUMMYFUNCTION("""COMPUTED_VALUE"""),"10")</f>
        <v>10</v>
      </c>
      <c r="G427" s="8">
        <f ca="1">IFERROR(__xludf.DUMMYFUNCTION("""COMPUTED_VALUE"""),2609)</f>
        <v>2609</v>
      </c>
      <c r="H427" s="8" t="str">
        <f ca="1">IFERROR(__xludf.DUMMYFUNCTION("""COMPUTED_VALUE"""),"Y/N")</f>
        <v>Y/N</v>
      </c>
      <c r="I427" s="8" t="str">
        <f ca="1">IFERROR(__xludf.DUMMYFUNCTION("""COMPUTED_VALUE"""),"3 x 800")</f>
        <v>3 x 800</v>
      </c>
      <c r="J427" s="8" t="str">
        <f ca="1">IFERROR(__xludf.DUMMYFUNCTION("""COMPUTED_VALUE"""),"Hanshin")</f>
        <v>Hanshin</v>
      </c>
      <c r="K427" s="8" t="str">
        <f ca="1">IFERROR(__xludf.DUMMYFUNCTION("""COMPUTED_VALUE"""),"12 k")</f>
        <v>12 k</v>
      </c>
      <c r="L427" s="8" t="str">
        <f ca="1">IFERROR(__xludf.DUMMYFUNCTION("""COMPUTED_VALUE"""),"To be chkd")</f>
        <v>To be chkd</v>
      </c>
      <c r="M427" s="8" t="str">
        <f ca="1">IFERROR(__xludf.DUMMYFUNCTION("""COMPUTED_VALUE"""),"KR 5/28D")</f>
        <v>KR 5/28D</v>
      </c>
      <c r="N427" s="8" t="str">
        <f ca="1">IFERROR(__xludf.DUMMYFUNCTION("""COMPUTED_VALUE"""),"Korea")</f>
        <v>Korea</v>
      </c>
      <c r="O427" s="8" t="str">
        <f ca="1">IFERROR(__xludf.DUMMYFUNCTION("""COMPUTED_VALUE"""),"B.offers")</f>
        <v>B.offers</v>
      </c>
    </row>
    <row r="428" spans="1:15" ht="15.75" customHeight="1" x14ac:dyDescent="0.25">
      <c r="A428" s="8" t="str">
        <f ca="1">IFERROR(__xludf.DUMMYFUNCTION("""COMPUTED_VALUE"""),"TA 2345/90")</f>
        <v>TA 2345/90</v>
      </c>
      <c r="B428" s="8" t="str">
        <f ca="1">IFERROR(__xludf.DUMMYFUNCTION("""COMPUTED_VALUE"""),"Bunkering Tanker")</f>
        <v>Bunkering Tanker</v>
      </c>
      <c r="C428" s="9">
        <f ca="1">IFERROR(__xludf.DUMMYFUNCTION("""COMPUTED_VALUE"""),2345)</f>
        <v>2345</v>
      </c>
      <c r="D428" s="8" t="str">
        <f ca="1">IFERROR(__xludf.DUMMYFUNCTION("""COMPUTED_VALUE"""),"1990-Holland")</f>
        <v>1990-Holland</v>
      </c>
      <c r="E428" s="8" t="str">
        <f ca="1">IFERROR(__xludf.DUMMYFUNCTION("""COMPUTED_VALUE"""),"79.70 x 10.90")</f>
        <v>79.70 x 10.90</v>
      </c>
      <c r="F428" s="8" t="str">
        <f ca="1">IFERROR(__xludf.DUMMYFUNCTION("""COMPUTED_VALUE"""),"?")</f>
        <v>?</v>
      </c>
      <c r="G428" s="8">
        <f ca="1">IFERROR(__xludf.DUMMYFUNCTION("""COMPUTED_VALUE"""),2583)</f>
        <v>2583</v>
      </c>
      <c r="H428" s="8" t="str">
        <f ca="1">IFERROR(__xludf.DUMMYFUNCTION("""COMPUTED_VALUE"""),"Y/Y Phenolic")</f>
        <v>Y/Y Phenolic</v>
      </c>
      <c r="I428" s="8" t="str">
        <f ca="1">IFERROR(__xludf.DUMMYFUNCTION("""COMPUTED_VALUE"""),"2 x 250+1 x 80 + 1 x 8")</f>
        <v>2 x 250+1 x 80 + 1 x 8</v>
      </c>
      <c r="J428" s="8" t="str">
        <f ca="1">IFERROR(__xludf.DUMMYFUNCTION("""COMPUTED_VALUE"""),"ABC")</f>
        <v>ABC</v>
      </c>
      <c r="K428" s="8" t="str">
        <f ca="1">IFERROR(__xludf.DUMMYFUNCTION("""COMPUTED_VALUE"""),"-")</f>
        <v>-</v>
      </c>
      <c r="L428" s="8" t="str">
        <f ca="1">IFERROR(__xludf.DUMMYFUNCTION("""COMPUTED_VALUE"""),"To be chkd")</f>
        <v>To be chkd</v>
      </c>
      <c r="M428" s="8" t="str">
        <f ca="1">IFERROR(__xludf.DUMMYFUNCTION("""COMPUTED_VALUE"""),"RINA unrestricted")</f>
        <v>RINA unrestricted</v>
      </c>
      <c r="N428" s="8" t="str">
        <f ca="1">IFERROR(__xludf.DUMMYFUNCTION("""COMPUTED_VALUE"""),"Brindisi, Italy")</f>
        <v>Brindisi, Italy</v>
      </c>
      <c r="O428" s="8" t="str">
        <f ca="1">IFERROR(__xludf.DUMMYFUNCTION("""COMPUTED_VALUE"""),"B.offers")</f>
        <v>B.offers</v>
      </c>
    </row>
    <row r="429" spans="1:15" ht="15.75" customHeight="1" x14ac:dyDescent="0.25">
      <c r="A429" s="8" t="str">
        <f ca="1">IFERROR(__xludf.DUMMYFUNCTION("""COMPUTED_VALUE"""),"TA 2309/01")</f>
        <v>TA 2309/01</v>
      </c>
      <c r="B429" s="8" t="str">
        <f ca="1">IFERROR(__xludf.DUMMYFUNCTION("""COMPUTED_VALUE"""),"Asphalt/Bitumen Tanker")</f>
        <v>Asphalt/Bitumen Tanker</v>
      </c>
      <c r="C429" s="9">
        <f ca="1">IFERROR(__xludf.DUMMYFUNCTION("""COMPUTED_VALUE"""),2309)</f>
        <v>2309</v>
      </c>
      <c r="D429" s="8" t="str">
        <f ca="1">IFERROR(__xludf.DUMMYFUNCTION("""COMPUTED_VALUE"""),"2001-Japan")</f>
        <v>2001-Japan</v>
      </c>
      <c r="E429" s="8" t="str">
        <f ca="1">IFERROR(__xludf.DUMMYFUNCTION("""COMPUTED_VALUE"""),"79.99 x 13.20")</f>
        <v>79.99 x 13.20</v>
      </c>
      <c r="F429" s="8" t="str">
        <f ca="1">IFERROR(__xludf.DUMMYFUNCTION("""COMPUTED_VALUE"""),"8")</f>
        <v>8</v>
      </c>
      <c r="G429" s="8" t="str">
        <f ca="1">IFERROR(__xludf.DUMMYFUNCTION("""COMPUTED_VALUE"""),"-")</f>
        <v>-</v>
      </c>
      <c r="H429" s="8" t="str">
        <f ca="1">IFERROR(__xludf.DUMMYFUNCTION("""COMPUTED_VALUE"""),"Y/N")</f>
        <v>Y/N</v>
      </c>
      <c r="I429" s="8" t="str">
        <f ca="1">IFERROR(__xludf.DUMMYFUNCTION("""COMPUTED_VALUE"""),"2 x 600")</f>
        <v>2 x 600</v>
      </c>
      <c r="J429" s="8" t="str">
        <f ca="1">IFERROR(__xludf.DUMMYFUNCTION("""COMPUTED_VALUE"""),"Akasaka")</f>
        <v>Akasaka</v>
      </c>
      <c r="K429" s="8" t="str">
        <f ca="1">IFERROR(__xludf.DUMMYFUNCTION("""COMPUTED_VALUE"""),"-")</f>
        <v>-</v>
      </c>
      <c r="L429" s="8" t="str">
        <f ca="1">IFERROR(__xludf.DUMMYFUNCTION("""COMPUTED_VALUE"""),"To be chkd")</f>
        <v>To be chkd</v>
      </c>
      <c r="M429" s="8" t="str">
        <f ca="1">IFERROR(__xludf.DUMMYFUNCTION("""COMPUTED_VALUE"""),"BV 9/26D")</f>
        <v>BV 9/26D</v>
      </c>
      <c r="N429" s="8" t="str">
        <f ca="1">IFERROR(__xludf.DUMMYFUNCTION("""COMPUTED_VALUE"""),"UAE")</f>
        <v>UAE</v>
      </c>
      <c r="O429" s="8" t="str">
        <f ca="1">IFERROR(__xludf.DUMMYFUNCTION("""COMPUTED_VALUE"""),"B.offers")</f>
        <v>B.offers</v>
      </c>
    </row>
    <row r="430" spans="1:15" ht="15.75" customHeight="1" x14ac:dyDescent="0.25">
      <c r="A430" s="8" t="str">
        <f ca="1">IFERROR(__xludf.DUMMYFUNCTION("""COMPUTED_VALUE"""),"TA 2223/10")</f>
        <v>TA 2223/10</v>
      </c>
      <c r="B430" s="8" t="str">
        <f ca="1">IFERROR(__xludf.DUMMYFUNCTION("""COMPUTED_VALUE"""),"DPP IMO2 Coastal Bunkering Tanker")</f>
        <v>DPP IMO2 Coastal Bunkering Tanker</v>
      </c>
      <c r="C430" s="9">
        <f ca="1">IFERROR(__xludf.DUMMYFUNCTION("""COMPUTED_VALUE"""),2223)</f>
        <v>2223</v>
      </c>
      <c r="D430" s="8" t="str">
        <f ca="1">IFERROR(__xludf.DUMMYFUNCTION("""COMPUTED_VALUE"""),"2010-Japan")</f>
        <v>2010-Japan</v>
      </c>
      <c r="E430" s="8" t="str">
        <f ca="1">IFERROR(__xludf.DUMMYFUNCTION("""COMPUTED_VALUE"""),"76.82 x 12.30")</f>
        <v>76.82 x 12.30</v>
      </c>
      <c r="F430" s="8" t="str">
        <f ca="1">IFERROR(__xludf.DUMMYFUNCTION("""COMPUTED_VALUE"""),"10")</f>
        <v>10</v>
      </c>
      <c r="G430" s="8">
        <f ca="1">IFERROR(__xludf.DUMMYFUNCTION("""COMPUTED_VALUE"""),2449)</f>
        <v>2449</v>
      </c>
      <c r="H430" s="8" t="str">
        <f ca="1">IFERROR(__xludf.DUMMYFUNCTION("""COMPUTED_VALUE"""),"N/N")</f>
        <v>N/N</v>
      </c>
      <c r="I430" s="8" t="str">
        <f ca="1">IFERROR(__xludf.DUMMYFUNCTION("""COMPUTED_VALUE"""),"2 x 750 +1 x 150")</f>
        <v>2 x 750 +1 x 150</v>
      </c>
      <c r="J430" s="8" t="str">
        <f ca="1">IFERROR(__xludf.DUMMYFUNCTION("""COMPUTED_VALUE"""),"Yanmar")</f>
        <v>Yanmar</v>
      </c>
      <c r="K430" s="8" t="str">
        <f ca="1">IFERROR(__xludf.DUMMYFUNCTION("""COMPUTED_VALUE"""),"12 k")</f>
        <v>12 k</v>
      </c>
      <c r="L430" s="8" t="str">
        <f ca="1">IFERROR(__xludf.DUMMYFUNCTION("""COMPUTED_VALUE"""),"Not fitted")</f>
        <v>Not fitted</v>
      </c>
      <c r="M430" s="8" t="str">
        <f ca="1">IFERROR(__xludf.DUMMYFUNCTION("""COMPUTED_VALUE"""),"Komsa 4.28D")</f>
        <v>Komsa 4.28D</v>
      </c>
      <c r="N430" s="8" t="str">
        <f ca="1">IFERROR(__xludf.DUMMYFUNCTION("""COMPUTED_VALUE"""),"China")</f>
        <v>China</v>
      </c>
      <c r="O430" s="8" t="str">
        <f ca="1">IFERROR(__xludf.DUMMYFUNCTION("""COMPUTED_VALUE"""),"B.offers")</f>
        <v>B.offers</v>
      </c>
    </row>
    <row r="431" spans="1:15" ht="15.75" customHeight="1" x14ac:dyDescent="0.25">
      <c r="A431" s="8" t="str">
        <f ca="1">IFERROR(__xludf.DUMMYFUNCTION("""COMPUTED_VALUE"""),"TA 2220/05")</f>
        <v>TA 2220/05</v>
      </c>
      <c r="B431" s="8" t="str">
        <f ca="1">IFERROR(__xludf.DUMMYFUNCTION("""COMPUTED_VALUE"""),"StSt Chem Tker IMO2")</f>
        <v>StSt Chem Tker IMO2</v>
      </c>
      <c r="C431" s="9">
        <f ca="1">IFERROR(__xludf.DUMMYFUNCTION("""COMPUTED_VALUE"""),2220)</f>
        <v>2220</v>
      </c>
      <c r="D431" s="8" t="str">
        <f ca="1">IFERROR(__xludf.DUMMYFUNCTION("""COMPUTED_VALUE"""),"2005-China")</f>
        <v>2005-China</v>
      </c>
      <c r="E431" s="8" t="str">
        <f ca="1">IFERROR(__xludf.DUMMYFUNCTION("""COMPUTED_VALUE"""),"81.65 x 12.00 ")</f>
        <v xml:space="preserve">81.65 x 12.00 </v>
      </c>
      <c r="F431" s="8" t="str">
        <f ca="1">IFERROR(__xludf.DUMMYFUNCTION("""COMPUTED_VALUE"""),"12")</f>
        <v>12</v>
      </c>
      <c r="G431" s="8">
        <f ca="1">IFERROR(__xludf.DUMMYFUNCTION("""COMPUTED_VALUE"""),2628)</f>
        <v>2628</v>
      </c>
      <c r="H431" s="8" t="str">
        <f ca="1">IFERROR(__xludf.DUMMYFUNCTION("""COMPUTED_VALUE"""),"Y/stst Tanks")</f>
        <v>Y/stst Tanks</v>
      </c>
      <c r="I431" s="8" t="str">
        <f ca="1">IFERROR(__xludf.DUMMYFUNCTION("""COMPUTED_VALUE"""),"2 x 400")</f>
        <v>2 x 400</v>
      </c>
      <c r="J431" s="8" t="str">
        <f ca="1">IFERROR(__xludf.DUMMYFUNCTION("""COMPUTED_VALUE"""),"Zichai")</f>
        <v>Zichai</v>
      </c>
      <c r="K431" s="8" t="str">
        <f ca="1">IFERROR(__xludf.DUMMYFUNCTION("""COMPUTED_VALUE"""),"-")</f>
        <v>-</v>
      </c>
      <c r="L431" s="8" t="str">
        <f ca="1">IFERROR(__xludf.DUMMYFUNCTION("""COMPUTED_VALUE"""),"To be chkd")</f>
        <v>To be chkd</v>
      </c>
      <c r="M431" s="8" t="str">
        <f ca="1">IFERROR(__xludf.DUMMYFUNCTION("""COMPUTED_VALUE"""),"CCS 7/25D")</f>
        <v>CCS 7/25D</v>
      </c>
      <c r="N431" s="8" t="str">
        <f ca="1">IFERROR(__xludf.DUMMYFUNCTION("""COMPUTED_VALUE"""),"Fareast")</f>
        <v>Fareast</v>
      </c>
      <c r="O431" s="8" t="str">
        <f ca="1">IFERROR(__xludf.DUMMYFUNCTION("""COMPUTED_VALUE"""),"B.offers")</f>
        <v>B.offers</v>
      </c>
    </row>
    <row r="432" spans="1:15" ht="15.75" customHeight="1" x14ac:dyDescent="0.25">
      <c r="A432" s="8" t="str">
        <f ca="1">IFERROR(__xludf.DUMMYFUNCTION("""COMPUTED_VALUE"""),"TA 2190/74")</f>
        <v>TA 2190/74</v>
      </c>
      <c r="B432" s="8" t="str">
        <f ca="1">IFERROR(__xludf.DUMMYFUNCTION("""COMPUTED_VALUE"""),"Bunkering Tanker")</f>
        <v>Bunkering Tanker</v>
      </c>
      <c r="C432" s="9">
        <f ca="1">IFERROR(__xludf.DUMMYFUNCTION("""COMPUTED_VALUE"""),2190)</f>
        <v>2190</v>
      </c>
      <c r="D432" s="8" t="str">
        <f ca="1">IFERROR(__xludf.DUMMYFUNCTION("""COMPUTED_VALUE"""),"1974-Japan+Rb")</f>
        <v>1974-Japan+Rb</v>
      </c>
      <c r="E432" s="8" t="str">
        <f ca="1">IFERROR(__xludf.DUMMYFUNCTION("""COMPUTED_VALUE"""),"73.00 x 11.84")</f>
        <v>73.00 x 11.84</v>
      </c>
      <c r="F432" s="8"/>
      <c r="G432" s="8"/>
      <c r="H432" s="8" t="str">
        <f ca="1">IFERROR(__xludf.DUMMYFUNCTION("""COMPUTED_VALUE"""),"-")</f>
        <v>-</v>
      </c>
      <c r="I432" s="8">
        <f ca="1">IFERROR(__xludf.DUMMYFUNCTION("""COMPUTED_VALUE"""),3)</f>
        <v>3</v>
      </c>
      <c r="J432" s="8" t="str">
        <f ca="1">IFERROR(__xludf.DUMMYFUNCTION("""COMPUTED_VALUE"""),"Makita")</f>
        <v>Makita</v>
      </c>
      <c r="K432" s="8" t="str">
        <f ca="1">IFERROR(__xludf.DUMMYFUNCTION("""COMPUTED_VALUE"""),"-")</f>
        <v>-</v>
      </c>
      <c r="L432" s="8" t="str">
        <f ca="1">IFERROR(__xludf.DUMMYFUNCTION("""COMPUTED_VALUE"""),"To be chkd")</f>
        <v>To be chkd</v>
      </c>
      <c r="M432" s="8" t="str">
        <f ca="1">IFERROR(__xludf.DUMMYFUNCTION("""COMPUTED_VALUE"""),"INSB 6/25 P")</f>
        <v>INSB 6/25 P</v>
      </c>
      <c r="N432" s="8" t="str">
        <f ca="1">IFERROR(__xludf.DUMMYFUNCTION("""COMPUTED_VALUE"""),"Greece ")</f>
        <v xml:space="preserve">Greece </v>
      </c>
      <c r="O432" s="8" t="str">
        <f ca="1">IFERROR(__xludf.DUMMYFUNCTION("""COMPUTED_VALUE"""),"B.offers")</f>
        <v>B.offers</v>
      </c>
    </row>
    <row r="433" spans="1:15" ht="15.75" customHeight="1" x14ac:dyDescent="0.25">
      <c r="A433" s="8" t="str">
        <f ca="1">IFERROR(__xludf.DUMMYFUNCTION("""COMPUTED_VALUE"""),"TA 2147/08")</f>
        <v>TA 2147/08</v>
      </c>
      <c r="B433" s="8" t="str">
        <f ca="1">IFERROR(__xludf.DUMMYFUNCTION("""COMPUTED_VALUE"""),"Products Tanker")</f>
        <v>Products Tanker</v>
      </c>
      <c r="C433" s="9">
        <f ca="1">IFERROR(__xludf.DUMMYFUNCTION("""COMPUTED_VALUE"""),2147)</f>
        <v>2147</v>
      </c>
      <c r="D433" s="8" t="str">
        <f ca="1">IFERROR(__xludf.DUMMYFUNCTION("""COMPUTED_VALUE"""),"2008-Turkey")</f>
        <v>2008-Turkey</v>
      </c>
      <c r="E433" s="8" t="str">
        <f ca="1">IFERROR(__xludf.DUMMYFUNCTION("""COMPUTED_VALUE"""),"78.02 x 12.00")</f>
        <v>78.02 x 12.00</v>
      </c>
      <c r="F433" s="8" t="str">
        <f ca="1">IFERROR(__xludf.DUMMYFUNCTION("""COMPUTED_VALUE"""),"11")</f>
        <v>11</v>
      </c>
      <c r="G433" s="8">
        <f ca="1">IFERROR(__xludf.DUMMYFUNCTION("""COMPUTED_VALUE"""),2443)</f>
        <v>2443</v>
      </c>
      <c r="H433" s="8" t="str">
        <f ca="1">IFERROR(__xludf.DUMMYFUNCTION("""COMPUTED_VALUE"""),"Y/Y Marineline")</f>
        <v>Y/Y Marineline</v>
      </c>
      <c r="I433" s="8" t="str">
        <f ca="1">IFERROR(__xludf.DUMMYFUNCTION("""COMPUTED_VALUE"""),"11 x 100")</f>
        <v>11 x 100</v>
      </c>
      <c r="J433" s="8" t="str">
        <f ca="1">IFERROR(__xludf.DUMMYFUNCTION("""COMPUTED_VALUE"""),"Wartsila")</f>
        <v>Wartsila</v>
      </c>
      <c r="K433" s="8" t="str">
        <f ca="1">IFERROR(__xludf.DUMMYFUNCTION("""COMPUTED_VALUE"""),"12 k")</f>
        <v>12 k</v>
      </c>
      <c r="L433" s="8" t="str">
        <f ca="1">IFERROR(__xludf.DUMMYFUNCTION("""COMPUTED_VALUE"""),"To be chkd")</f>
        <v>To be chkd</v>
      </c>
      <c r="M433" s="8" t="str">
        <f ca="1">IFERROR(__xludf.DUMMYFUNCTION("""COMPUTED_VALUE"""),"NV Class")</f>
        <v>NV Class</v>
      </c>
      <c r="N433" s="8" t="str">
        <f ca="1">IFERROR(__xludf.DUMMYFUNCTION("""COMPUTED_VALUE"""),"Argentina")</f>
        <v>Argentina</v>
      </c>
      <c r="O433" s="8" t="str">
        <f ca="1">IFERROR(__xludf.DUMMYFUNCTION("""COMPUTED_VALUE"""),"4.6-4.3 m")</f>
        <v>4.6-4.3 m</v>
      </c>
    </row>
    <row r="434" spans="1:15" ht="15.75" customHeight="1" x14ac:dyDescent="0.25">
      <c r="A434" s="8" t="str">
        <f ca="1">IFERROR(__xludf.DUMMYFUNCTION("""COMPUTED_VALUE"""),"TA 2144/86")</f>
        <v>TA 2144/86</v>
      </c>
      <c r="B434" s="8" t="str">
        <f ca="1">IFERROR(__xludf.DUMMYFUNCTION("""COMPUTED_VALUE"""),"Inland Shallow draft Tanker")</f>
        <v>Inland Shallow draft Tanker</v>
      </c>
      <c r="C434" s="9">
        <f ca="1">IFERROR(__xludf.DUMMYFUNCTION("""COMPUTED_VALUE"""),2144)</f>
        <v>2144</v>
      </c>
      <c r="D434" s="8" t="str">
        <f ca="1">IFERROR(__xludf.DUMMYFUNCTION("""COMPUTED_VALUE"""),"1986-Holland")</f>
        <v>1986-Holland</v>
      </c>
      <c r="E434" s="8" t="str">
        <f ca="1">IFERROR(__xludf.DUMMYFUNCTION("""COMPUTED_VALUE"""),"99.97 x 10.50")</f>
        <v>99.97 x 10.50</v>
      </c>
      <c r="F434" s="8" t="str">
        <f ca="1">IFERROR(__xludf.DUMMYFUNCTION("""COMPUTED_VALUE"""),"12")</f>
        <v>12</v>
      </c>
      <c r="G434" s="8">
        <f ca="1">IFERROR(__xludf.DUMMYFUNCTION("""COMPUTED_VALUE"""),2450)</f>
        <v>2450</v>
      </c>
      <c r="H434" s="8" t="str">
        <f ca="1">IFERROR(__xludf.DUMMYFUNCTION("""COMPUTED_VALUE"""),"Y/N")</f>
        <v>Y/N</v>
      </c>
      <c r="I434" s="8" t="str">
        <f ca="1">IFERROR(__xludf.DUMMYFUNCTION("""COMPUTED_VALUE"""),"1 X 585 + 1 X 200")</f>
        <v>1 X 585 + 1 X 200</v>
      </c>
      <c r="J434" s="8" t="str">
        <f ca="1">IFERROR(__xludf.DUMMYFUNCTION("""COMPUTED_VALUE"""),"Caterpillar")</f>
        <v>Caterpillar</v>
      </c>
      <c r="K434" s="8" t="str">
        <f ca="1">IFERROR(__xludf.DUMMYFUNCTION("""COMPUTED_VALUE"""),"-")</f>
        <v>-</v>
      </c>
      <c r="L434" s="8" t="str">
        <f ca="1">IFERROR(__xludf.DUMMYFUNCTION("""COMPUTED_VALUE"""),"To be chkd")</f>
        <v>To be chkd</v>
      </c>
      <c r="M434" s="8" t="str">
        <f ca="1">IFERROR(__xludf.DUMMYFUNCTION("""COMPUTED_VALUE"""),"River Zones")</f>
        <v>River Zones</v>
      </c>
      <c r="N434" s="8" t="str">
        <f ca="1">IFERROR(__xludf.DUMMYFUNCTION("""COMPUTED_VALUE"""),"N.Europe")</f>
        <v>N.Europe</v>
      </c>
      <c r="O434" s="8" t="str">
        <f ca="1">IFERROR(__xludf.DUMMYFUNCTION("""COMPUTED_VALUE"""),"B.offers")</f>
        <v>B.offers</v>
      </c>
    </row>
    <row r="435" spans="1:15" ht="15.75" customHeight="1" x14ac:dyDescent="0.25">
      <c r="A435" s="8" t="str">
        <f ca="1">IFERROR(__xludf.DUMMYFUNCTION("""COMPUTED_VALUE"""),"TA 2064/95")</f>
        <v>TA 2064/95</v>
      </c>
      <c r="B435" s="8" t="str">
        <f ca="1">IFERROR(__xludf.DUMMYFUNCTION("""COMPUTED_VALUE"""),"DPP Oil Tanker")</f>
        <v>DPP Oil Tanker</v>
      </c>
      <c r="C435" s="9">
        <f ca="1">IFERROR(__xludf.DUMMYFUNCTION("""COMPUTED_VALUE"""),2064)</f>
        <v>2064</v>
      </c>
      <c r="D435" s="8" t="str">
        <f ca="1">IFERROR(__xludf.DUMMYFUNCTION("""COMPUTED_VALUE"""),"1995-Japan")</f>
        <v>1995-Japan</v>
      </c>
      <c r="E435" s="8" t="str">
        <f ca="1">IFERROR(__xludf.DUMMYFUNCTION("""COMPUTED_VALUE"""),"84.27 x 11.50")</f>
        <v>84.27 x 11.50</v>
      </c>
      <c r="F435" s="8" t="str">
        <f ca="1">IFERROR(__xludf.DUMMYFUNCTION("""COMPUTED_VALUE"""),"12")</f>
        <v>12</v>
      </c>
      <c r="G435" s="8">
        <f ca="1">IFERROR(__xludf.DUMMYFUNCTION("""COMPUTED_VALUE"""),2246)</f>
        <v>2246</v>
      </c>
      <c r="H435" s="8" t="str">
        <f ca="1">IFERROR(__xludf.DUMMYFUNCTION("""COMPUTED_VALUE"""),"N/Y Epoxy")</f>
        <v>N/Y Epoxy</v>
      </c>
      <c r="I435" s="8" t="str">
        <f ca="1">IFERROR(__xludf.DUMMYFUNCTION("""COMPUTED_VALUE"""),"2 x 800")</f>
        <v>2 x 800</v>
      </c>
      <c r="J435" s="8" t="str">
        <f ca="1">IFERROR(__xludf.DUMMYFUNCTION("""COMPUTED_VALUE"""),"Akasaka")</f>
        <v>Akasaka</v>
      </c>
      <c r="K435" s="8"/>
      <c r="L435" s="8" t="str">
        <f ca="1">IFERROR(__xludf.DUMMYFUNCTION("""COMPUTED_VALUE"""),"No")</f>
        <v>No</v>
      </c>
      <c r="M435" s="8" t="str">
        <f ca="1">IFERROR(__xludf.DUMMYFUNCTION("""COMPUTED_VALUE"""),"KR 9/29D")</f>
        <v>KR 9/29D</v>
      </c>
      <c r="N435" s="8" t="str">
        <f ca="1">IFERROR(__xludf.DUMMYFUNCTION("""COMPUTED_VALUE"""),"Korea")</f>
        <v>Korea</v>
      </c>
      <c r="O435" s="8" t="str">
        <f ca="1">IFERROR(__xludf.DUMMYFUNCTION("""COMPUTED_VALUE"""),"B.offers")</f>
        <v>B.offers</v>
      </c>
    </row>
    <row r="436" spans="1:15" ht="15.75" customHeight="1" x14ac:dyDescent="0.25">
      <c r="A436" s="8" t="str">
        <f ca="1">IFERROR(__xludf.DUMMYFUNCTION("""COMPUTED_VALUE"""),"TA 2062/95")</f>
        <v>TA 2062/95</v>
      </c>
      <c r="B436" s="8" t="str">
        <f ca="1">IFERROR(__xludf.DUMMYFUNCTION("""COMPUTED_VALUE"""),"Oil Products Tanker")</f>
        <v>Oil Products Tanker</v>
      </c>
      <c r="C436" s="9">
        <f ca="1">IFERROR(__xludf.DUMMYFUNCTION("""COMPUTED_VALUE"""),2062)</f>
        <v>2062</v>
      </c>
      <c r="D436" s="8" t="str">
        <f ca="1">IFERROR(__xludf.DUMMYFUNCTION("""COMPUTED_VALUE"""),"1995-Japan")</f>
        <v>1995-Japan</v>
      </c>
      <c r="E436" s="8" t="str">
        <f ca="1">IFERROR(__xludf.DUMMYFUNCTION("""COMPUTED_VALUE"""),"84.27 x 11.50 ")</f>
        <v xml:space="preserve">84.27 x 11.50 </v>
      </c>
      <c r="F436" s="8" t="str">
        <f ca="1">IFERROR(__xludf.DUMMYFUNCTION("""COMPUTED_VALUE"""),"12")</f>
        <v>12</v>
      </c>
      <c r="G436" s="8">
        <f ca="1">IFERROR(__xludf.DUMMYFUNCTION("""COMPUTED_VALUE"""),2246)</f>
        <v>2246</v>
      </c>
      <c r="H436" s="8" t="str">
        <f ca="1">IFERROR(__xludf.DUMMYFUNCTION("""COMPUTED_VALUE"""),"?/?")</f>
        <v>?/?</v>
      </c>
      <c r="I436" s="8" t="str">
        <f ca="1">IFERROR(__xludf.DUMMYFUNCTION("""COMPUTED_VALUE"""),"2 x 800")</f>
        <v>2 x 800</v>
      </c>
      <c r="J436" s="8" t="str">
        <f ca="1">IFERROR(__xludf.DUMMYFUNCTION("""COMPUTED_VALUE"""),"Akasaka")</f>
        <v>Akasaka</v>
      </c>
      <c r="K436" s="8" t="str">
        <f ca="1">IFERROR(__xludf.DUMMYFUNCTION("""COMPUTED_VALUE"""),"12.5 k")</f>
        <v>12.5 k</v>
      </c>
      <c r="L436" s="8" t="str">
        <f ca="1">IFERROR(__xludf.DUMMYFUNCTION("""COMPUTED_VALUE"""),"To be chkd")</f>
        <v>To be chkd</v>
      </c>
      <c r="M436" s="8" t="str">
        <f ca="1">IFERROR(__xludf.DUMMYFUNCTION("""COMPUTED_VALUE"""),"KR 10.29D")</f>
        <v>KR 10.29D</v>
      </c>
      <c r="N436" s="8" t="str">
        <f ca="1">IFERROR(__xludf.DUMMYFUNCTION("""COMPUTED_VALUE"""),"Korea")</f>
        <v>Korea</v>
      </c>
      <c r="O436" s="8" t="str">
        <f ca="1">IFERROR(__xludf.DUMMYFUNCTION("""COMPUTED_VALUE"""),"B.offers")</f>
        <v>B.offers</v>
      </c>
    </row>
    <row r="437" spans="1:15" ht="15.75" customHeight="1" x14ac:dyDescent="0.25">
      <c r="A437" s="8" t="str">
        <f ca="1">IFERROR(__xludf.DUMMYFUNCTION("""COMPUTED_VALUE"""),"TA 2050/08")</f>
        <v>TA 2050/08</v>
      </c>
      <c r="B437" s="8" t="str">
        <f ca="1">IFERROR(__xludf.DUMMYFUNCTION("""COMPUTED_VALUE"""),"Chemical Oil Tanker IMO 2      ")</f>
        <v xml:space="preserve">Chemical Oil Tanker IMO 2      </v>
      </c>
      <c r="C437" s="9">
        <f ca="1">IFERROR(__xludf.DUMMYFUNCTION("""COMPUTED_VALUE"""),2050)</f>
        <v>2050</v>
      </c>
      <c r="D437" s="8" t="str">
        <f ca="1">IFERROR(__xludf.DUMMYFUNCTION("""COMPUTED_VALUE"""),"2008-China")</f>
        <v>2008-China</v>
      </c>
      <c r="E437" s="8" t="str">
        <f ca="1">IFERROR(__xludf.DUMMYFUNCTION("""COMPUTED_VALUE"""),"81.65 x 12.00 ")</f>
        <v xml:space="preserve">81.65 x 12.00 </v>
      </c>
      <c r="F437" s="8" t="str">
        <f ca="1">IFERROR(__xludf.DUMMYFUNCTION("""COMPUTED_VALUE"""),"12 ")</f>
        <v xml:space="preserve">12 </v>
      </c>
      <c r="G437" s="8"/>
      <c r="H437" s="8" t="str">
        <f ca="1">IFERROR(__xludf.DUMMYFUNCTION("""COMPUTED_VALUE"""),"Y stst / Y stst")</f>
        <v>Y stst / Y stst</v>
      </c>
      <c r="I437" s="8" t="str">
        <f ca="1">IFERROR(__xludf.DUMMYFUNCTION("""COMPUTED_VALUE"""),"?")</f>
        <v>?</v>
      </c>
      <c r="J437" s="8" t="str">
        <f ca="1">IFERROR(__xludf.DUMMYFUNCTION("""COMPUTED_VALUE"""),"Ningbo")</f>
        <v>Ningbo</v>
      </c>
      <c r="K437" s="8" t="str">
        <f ca="1">IFERROR(__xludf.DUMMYFUNCTION("""COMPUTED_VALUE"""),"-")</f>
        <v>-</v>
      </c>
      <c r="L437" s="8" t="str">
        <f ca="1">IFERROR(__xludf.DUMMYFUNCTION("""COMPUTED_VALUE"""),"To be chkd")</f>
        <v>To be chkd</v>
      </c>
      <c r="M437" s="8" t="str">
        <f ca="1">IFERROR(__xludf.DUMMYFUNCTION("""COMPUTED_VALUE"""),"ZC Coastal")</f>
        <v>ZC Coastal</v>
      </c>
      <c r="N437" s="8" t="str">
        <f ca="1">IFERROR(__xludf.DUMMYFUNCTION("""COMPUTED_VALUE"""),"China")</f>
        <v>China</v>
      </c>
      <c r="O437" s="8" t="str">
        <f ca="1">IFERROR(__xludf.DUMMYFUNCTION("""COMPUTED_VALUE"""),"B.offers")</f>
        <v>B.offers</v>
      </c>
    </row>
    <row r="438" spans="1:15" ht="15.75" customHeight="1" x14ac:dyDescent="0.25">
      <c r="A438" s="8" t="str">
        <f ca="1">IFERROR(__xludf.DUMMYFUNCTION("""COMPUTED_VALUE"""),"TA 2043/01")</f>
        <v>TA 2043/01</v>
      </c>
      <c r="B438" s="8" t="str">
        <f ca="1">IFERROR(__xludf.DUMMYFUNCTION("""COMPUTED_VALUE"""),"Coastal Bunkering/DPP Tanker")</f>
        <v>Coastal Bunkering/DPP Tanker</v>
      </c>
      <c r="C438" s="9">
        <f ca="1">IFERROR(__xludf.DUMMYFUNCTION("""COMPUTED_VALUE"""),2043)</f>
        <v>2043</v>
      </c>
      <c r="D438" s="8" t="str">
        <f ca="1">IFERROR(__xludf.DUMMYFUNCTION("""COMPUTED_VALUE"""),"2001-Japan")</f>
        <v>2001-Japan</v>
      </c>
      <c r="E438" s="8" t="str">
        <f ca="1">IFERROR(__xludf.DUMMYFUNCTION("""COMPUTED_VALUE"""),"75.52 x 12.00")</f>
        <v>75.52 x 12.00</v>
      </c>
      <c r="F438" s="8" t="str">
        <f ca="1">IFERROR(__xludf.DUMMYFUNCTION("""COMPUTED_VALUE"""),"10")</f>
        <v>10</v>
      </c>
      <c r="G438" s="8">
        <f ca="1">IFERROR(__xludf.DUMMYFUNCTION("""COMPUTED_VALUE"""),1841)</f>
        <v>1841</v>
      </c>
      <c r="H438" s="8" t="str">
        <f ca="1">IFERROR(__xludf.DUMMYFUNCTION("""COMPUTED_VALUE"""),"N/Epoxy")</f>
        <v>N/Epoxy</v>
      </c>
      <c r="I438" s="8" t="str">
        <f ca="1">IFERROR(__xludf.DUMMYFUNCTION("""COMPUTED_VALUE"""),"2x750+1x200")</f>
        <v>2x750+1x200</v>
      </c>
      <c r="J438" s="8" t="str">
        <f ca="1">IFERROR(__xludf.DUMMYFUNCTION("""COMPUTED_VALUE"""),"Daihatsu")</f>
        <v>Daihatsu</v>
      </c>
      <c r="K438" s="8" t="str">
        <f ca="1">IFERROR(__xludf.DUMMYFUNCTION("""COMPUTED_VALUE"""),"11.5 k")</f>
        <v>11.5 k</v>
      </c>
      <c r="L438" s="8" t="str">
        <f ca="1">IFERROR(__xludf.DUMMYFUNCTION("""COMPUTED_VALUE"""),"To be chkd")</f>
        <v>To be chkd</v>
      </c>
      <c r="M438" s="8" t="str">
        <f ca="1">IFERROR(__xludf.DUMMYFUNCTION("""COMPUTED_VALUE"""),"KR 9.26D")</f>
        <v>KR 9.26D</v>
      </c>
      <c r="N438" s="8" t="str">
        <f ca="1">IFERROR(__xludf.DUMMYFUNCTION("""COMPUTED_VALUE"""),"Fareast")</f>
        <v>Fareast</v>
      </c>
      <c r="O438" s="8" t="str">
        <f ca="1">IFERROR(__xludf.DUMMYFUNCTION("""COMPUTED_VALUE"""),"2.3-2.2 m")</f>
        <v>2.3-2.2 m</v>
      </c>
    </row>
    <row r="439" spans="1:15" ht="15.75" customHeight="1" x14ac:dyDescent="0.25">
      <c r="A439" s="8" t="str">
        <f ca="1">IFERROR(__xludf.DUMMYFUNCTION("""COMPUTED_VALUE"""),"TA 2022/00")</f>
        <v>TA 2022/00</v>
      </c>
      <c r="B439" s="8" t="str">
        <f ca="1">IFERROR(__xludf.DUMMYFUNCTION("""COMPUTED_VALUE"""),"Oil/Prods st.st Tanker")</f>
        <v>Oil/Prods st.st Tanker</v>
      </c>
      <c r="C439" s="9">
        <f ca="1">IFERROR(__xludf.DUMMYFUNCTION("""COMPUTED_VALUE"""),2021)</f>
        <v>2021</v>
      </c>
      <c r="D439" s="8" t="str">
        <f ca="1">IFERROR(__xludf.DUMMYFUNCTION("""COMPUTED_VALUE"""),"2000-Japan")</f>
        <v>2000-Japan</v>
      </c>
      <c r="E439" s="8" t="str">
        <f ca="1">IFERROR(__xludf.DUMMYFUNCTION("""COMPUTED_VALUE"""),"74.92 x 12.00")</f>
        <v>74.92 x 12.00</v>
      </c>
      <c r="F439" s="8" t="str">
        <f ca="1">IFERROR(__xludf.DUMMYFUNCTION("""COMPUTED_VALUE"""),"10")</f>
        <v>10</v>
      </c>
      <c r="G439" s="8">
        <f ca="1">IFERROR(__xludf.DUMMYFUNCTION("""COMPUTED_VALUE"""),2227)</f>
        <v>2227</v>
      </c>
      <c r="H439" s="8" t="str">
        <f ca="1">IFERROR(__xludf.DUMMYFUNCTION("""COMPUTED_VALUE"""),"N/Y stst")</f>
        <v>N/Y stst</v>
      </c>
      <c r="I439" s="8" t="str">
        <f ca="1">IFERROR(__xludf.DUMMYFUNCTION("""COMPUTED_VALUE"""),"2 x 1000+1x200")</f>
        <v>2 x 1000+1x200</v>
      </c>
      <c r="J439" s="8" t="str">
        <f ca="1">IFERROR(__xludf.DUMMYFUNCTION("""COMPUTED_VALUE"""),"Akasaka")</f>
        <v>Akasaka</v>
      </c>
      <c r="K439" s="8" t="str">
        <f ca="1">IFERROR(__xludf.DUMMYFUNCTION("""COMPUTED_VALUE"""),"12 k")</f>
        <v>12 k</v>
      </c>
      <c r="L439" s="8" t="str">
        <f ca="1">IFERROR(__xludf.DUMMYFUNCTION("""COMPUTED_VALUE"""),"To be chkd")</f>
        <v>To be chkd</v>
      </c>
      <c r="M439" s="8" t="str">
        <f ca="1">IFERROR(__xludf.DUMMYFUNCTION("""COMPUTED_VALUE"""),"Komsa 10/28D")</f>
        <v>Komsa 10/28D</v>
      </c>
      <c r="N439" s="8" t="str">
        <f ca="1">IFERROR(__xludf.DUMMYFUNCTION("""COMPUTED_VALUE"""),"Korea")</f>
        <v>Korea</v>
      </c>
      <c r="O439" s="8" t="str">
        <f ca="1">IFERROR(__xludf.DUMMYFUNCTION("""COMPUTED_VALUE"""),"B.offers")</f>
        <v>B.offers</v>
      </c>
    </row>
    <row r="440" spans="1:15" ht="15.75" customHeight="1" x14ac:dyDescent="0.25">
      <c r="A440" s="8" t="str">
        <f ca="1">IFERROR(__xludf.DUMMYFUNCTION("""COMPUTED_VALUE"""),"TA 2014/02")</f>
        <v>TA 2014/02</v>
      </c>
      <c r="B440" s="8" t="str">
        <f ca="1">IFERROR(__xludf.DUMMYFUNCTION("""COMPUTED_VALUE"""),"Oil/Products Tanker")</f>
        <v>Oil/Products Tanker</v>
      </c>
      <c r="C440" s="9">
        <f ca="1">IFERROR(__xludf.DUMMYFUNCTION("""COMPUTED_VALUE"""),2014)</f>
        <v>2014</v>
      </c>
      <c r="D440" s="8" t="str">
        <f ca="1">IFERROR(__xludf.DUMMYFUNCTION("""COMPUTED_VALUE"""),"2002-Japan")</f>
        <v>2002-Japan</v>
      </c>
      <c r="E440" s="8" t="str">
        <f ca="1">IFERROR(__xludf.DUMMYFUNCTION("""COMPUTED_VALUE"""),"74.93 x 11.20")</f>
        <v>74.93 x 11.20</v>
      </c>
      <c r="F440" s="8" t="str">
        <f ca="1">IFERROR(__xludf.DUMMYFUNCTION("""COMPUTED_VALUE"""),"10")</f>
        <v>10</v>
      </c>
      <c r="G440" s="8">
        <f ca="1">IFERROR(__xludf.DUMMYFUNCTION("""COMPUTED_VALUE"""),2324)</f>
        <v>2324</v>
      </c>
      <c r="H440" s="8" t="str">
        <f ca="1">IFERROR(__xludf.DUMMYFUNCTION("""COMPUTED_VALUE"""),"?/?")</f>
        <v>?/?</v>
      </c>
      <c r="I440" s="8" t="str">
        <f ca="1">IFERROR(__xludf.DUMMYFUNCTION("""COMPUTED_VALUE"""),"2 x 750 + 1 x 200")</f>
        <v>2 x 750 + 1 x 200</v>
      </c>
      <c r="J440" s="8" t="str">
        <f ca="1">IFERROR(__xludf.DUMMYFUNCTION("""COMPUTED_VALUE"""),"Hanshin")</f>
        <v>Hanshin</v>
      </c>
      <c r="K440" s="8" t="str">
        <f ca="1">IFERROR(__xludf.DUMMYFUNCTION("""COMPUTED_VALUE"""),"-")</f>
        <v>-</v>
      </c>
      <c r="L440" s="8" t="str">
        <f ca="1">IFERROR(__xludf.DUMMYFUNCTION("""COMPUTED_VALUE"""),"To be chkd")</f>
        <v>To be chkd</v>
      </c>
      <c r="M440" s="8" t="str">
        <f ca="1">IFERROR(__xludf.DUMMYFUNCTION("""COMPUTED_VALUE"""),"Komsa 6.29D")</f>
        <v>Komsa 6.29D</v>
      </c>
      <c r="N440" s="8" t="str">
        <f ca="1">IFERROR(__xludf.DUMMYFUNCTION("""COMPUTED_VALUE"""),"Korea")</f>
        <v>Korea</v>
      </c>
      <c r="O440" s="8" t="str">
        <f ca="1">IFERROR(__xludf.DUMMYFUNCTION("""COMPUTED_VALUE"""),"B.offers")</f>
        <v>B.offers</v>
      </c>
    </row>
    <row r="441" spans="1:15" ht="15.75" customHeight="1" x14ac:dyDescent="0.25">
      <c r="A441" s="8" t="str">
        <f ca="1">IFERROR(__xludf.DUMMYFUNCTION("""COMPUTED_VALUE"""),"TA 1700/94")</f>
        <v>TA 1700/94</v>
      </c>
      <c r="B441" s="8" t="str">
        <f ca="1">IFERROR(__xludf.DUMMYFUNCTION("""COMPUTED_VALUE"""),"Dirty Oil Tanker")</f>
        <v>Dirty Oil Tanker</v>
      </c>
      <c r="C441" s="9">
        <f ca="1">IFERROR(__xludf.DUMMYFUNCTION("""COMPUTED_VALUE"""),1700)</f>
        <v>1700</v>
      </c>
      <c r="D441" s="8" t="str">
        <f ca="1">IFERROR(__xludf.DUMMYFUNCTION("""COMPUTED_VALUE"""),"1994-Japan")</f>
        <v>1994-Japan</v>
      </c>
      <c r="E441" s="8" t="str">
        <f ca="1">IFERROR(__xludf.DUMMYFUNCTION("""COMPUTED_VALUE"""),"77.00 x 11.60")</f>
        <v>77.00 x 11.60</v>
      </c>
      <c r="F441" s="8" t="str">
        <f ca="1">IFERROR(__xludf.DUMMYFUNCTION("""COMPUTED_VALUE"""),"10")</f>
        <v>10</v>
      </c>
      <c r="G441" s="8">
        <f ca="1">IFERROR(__xludf.DUMMYFUNCTION("""COMPUTED_VALUE"""),1964)</f>
        <v>1964</v>
      </c>
      <c r="H441" s="8" t="str">
        <f ca="1">IFERROR(__xludf.DUMMYFUNCTION("""COMPUTED_VALUE"""),"Y/Y Epoxy")</f>
        <v>Y/Y Epoxy</v>
      </c>
      <c r="I441" s="8" t="str">
        <f ca="1">IFERROR(__xludf.DUMMYFUNCTION("""COMPUTED_VALUE"""),"2 x 750")</f>
        <v>2 x 750</v>
      </c>
      <c r="J441" s="8" t="str">
        <f ca="1">IFERROR(__xludf.DUMMYFUNCTION("""COMPUTED_VALUE"""),"Akasaka")</f>
        <v>Akasaka</v>
      </c>
      <c r="K441" s="8" t="str">
        <f ca="1">IFERROR(__xludf.DUMMYFUNCTION("""COMPUTED_VALUE"""),"-")</f>
        <v>-</v>
      </c>
      <c r="L441" s="8" t="str">
        <f ca="1">IFERROR(__xludf.DUMMYFUNCTION("""COMPUTED_VALUE"""),"To be chkd")</f>
        <v>To be chkd</v>
      </c>
      <c r="M441" s="8" t="str">
        <f ca="1">IFERROR(__xludf.DUMMYFUNCTION("""COMPUTED_VALUE"""),"Komsa Coast")</f>
        <v>Komsa Coast</v>
      </c>
      <c r="N441" s="8" t="str">
        <f ca="1">IFERROR(__xludf.DUMMYFUNCTION("""COMPUTED_VALUE"""),"Fareast")</f>
        <v>Fareast</v>
      </c>
      <c r="O441" s="8" t="str">
        <f ca="1">IFERROR(__xludf.DUMMYFUNCTION("""COMPUTED_VALUE"""),"B.offers")</f>
        <v>B.offers</v>
      </c>
    </row>
    <row r="442" spans="1:15" ht="15.75" customHeight="1" x14ac:dyDescent="0.25">
      <c r="A442" s="8" t="str">
        <f ca="1">IFERROR(__xludf.DUMMYFUNCTION("""COMPUTED_VALUE"""),"TA 1961/07")</f>
        <v>TA 1961/07</v>
      </c>
      <c r="B442" s="8" t="str">
        <f ca="1">IFERROR(__xludf.DUMMYFUNCTION("""COMPUTED_VALUE"""),"Oil/Products Tanker")</f>
        <v>Oil/Products Tanker</v>
      </c>
      <c r="C442" s="9">
        <f ca="1">IFERROR(__xludf.DUMMYFUNCTION("""COMPUTED_VALUE"""),1961)</f>
        <v>1961</v>
      </c>
      <c r="D442" s="8" t="str">
        <f ca="1">IFERROR(__xludf.DUMMYFUNCTION("""COMPUTED_VALUE"""),"2007-Japan")</f>
        <v>2007-Japan</v>
      </c>
      <c r="E442" s="8" t="str">
        <f ca="1">IFERROR(__xludf.DUMMYFUNCTION("""COMPUTED_VALUE"""),"72.09 x 11.80")</f>
        <v>72.09 x 11.80</v>
      </c>
      <c r="F442" s="8"/>
      <c r="G442" s="8">
        <f ca="1">IFERROR(__xludf.DUMMYFUNCTION("""COMPUTED_VALUE"""),2023)</f>
        <v>2023</v>
      </c>
      <c r="H442" s="8" t="str">
        <f ca="1">IFERROR(__xludf.DUMMYFUNCTION("""COMPUTED_VALUE"""),"N/Y Epoxy")</f>
        <v>N/Y Epoxy</v>
      </c>
      <c r="I442" s="8" t="str">
        <f ca="1">IFERROR(__xludf.DUMMYFUNCTION("""COMPUTED_VALUE"""),"-")</f>
        <v>-</v>
      </c>
      <c r="J442" s="8" t="str">
        <f ca="1">IFERROR(__xludf.DUMMYFUNCTION("""COMPUTED_VALUE"""),"-")</f>
        <v>-</v>
      </c>
      <c r="K442" s="8" t="str">
        <f ca="1">IFERROR(__xludf.DUMMYFUNCTION("""COMPUTED_VALUE"""),"-")</f>
        <v>-</v>
      </c>
      <c r="L442" s="8" t="str">
        <f ca="1">IFERROR(__xludf.DUMMYFUNCTION("""COMPUTED_VALUE"""),"To be chkd")</f>
        <v>To be chkd</v>
      </c>
      <c r="M442" s="8" t="str">
        <f ca="1">IFERROR(__xludf.DUMMYFUNCTION("""COMPUTED_VALUE"""),"PMS 2.28D")</f>
        <v>PMS 2.28D</v>
      </c>
      <c r="N442" s="8" t="str">
        <f ca="1">IFERROR(__xludf.DUMMYFUNCTION("""COMPUTED_VALUE"""),"Philippines")</f>
        <v>Philippines</v>
      </c>
      <c r="O442" s="8" t="str">
        <f ca="1">IFERROR(__xludf.DUMMYFUNCTION("""COMPUTED_VALUE"""),"B.offers")</f>
        <v>B.offers</v>
      </c>
    </row>
    <row r="443" spans="1:15" ht="15.75" customHeight="1" x14ac:dyDescent="0.25">
      <c r="A443" s="8" t="str">
        <f ca="1">IFERROR(__xludf.DUMMYFUNCTION("""COMPUTED_VALUE"""),"TA 1960/94")</f>
        <v>TA 1960/94</v>
      </c>
      <c r="B443" s="8" t="str">
        <f ca="1">IFERROR(__xludf.DUMMYFUNCTION("""COMPUTED_VALUE"""),"Bunkering tanker")</f>
        <v>Bunkering tanker</v>
      </c>
      <c r="C443" s="9">
        <f ca="1">IFERROR(__xludf.DUMMYFUNCTION("""COMPUTED_VALUE"""),1960)</f>
        <v>1960</v>
      </c>
      <c r="D443" s="8" t="str">
        <f ca="1">IFERROR(__xludf.DUMMYFUNCTION("""COMPUTED_VALUE"""),"1994-Japan")</f>
        <v>1994-Japan</v>
      </c>
      <c r="E443" s="8" t="str">
        <f ca="1">IFERROR(__xludf.DUMMYFUNCTION("""COMPUTED_VALUE"""),"77.00 x 11.60")</f>
        <v>77.00 x 11.60</v>
      </c>
      <c r="F443" s="8" t="str">
        <f ca="1">IFERROR(__xludf.DUMMYFUNCTION("""COMPUTED_VALUE"""),"10")</f>
        <v>10</v>
      </c>
      <c r="G443" s="8">
        <f ca="1">IFERROR(__xludf.DUMMYFUNCTION("""COMPUTED_VALUE"""),2201)</f>
        <v>2201</v>
      </c>
      <c r="H443" s="8" t="str">
        <f ca="1">IFERROR(__xludf.DUMMYFUNCTION("""COMPUTED_VALUE"""),"Y/N")</f>
        <v>Y/N</v>
      </c>
      <c r="I443" s="8" t="str">
        <f ca="1">IFERROR(__xludf.DUMMYFUNCTION("""COMPUTED_VALUE"""),"2 x 750")</f>
        <v>2 x 750</v>
      </c>
      <c r="J443" s="8" t="str">
        <f ca="1">IFERROR(__xludf.DUMMYFUNCTION("""COMPUTED_VALUE"""),"Akasaka")</f>
        <v>Akasaka</v>
      </c>
      <c r="K443" s="8" t="str">
        <f ca="1">IFERROR(__xludf.DUMMYFUNCTION("""COMPUTED_VALUE"""),"11 k")</f>
        <v>11 k</v>
      </c>
      <c r="L443" s="8" t="str">
        <f ca="1">IFERROR(__xludf.DUMMYFUNCTION("""COMPUTED_VALUE"""),"To be chkd")</f>
        <v>To be chkd</v>
      </c>
      <c r="M443" s="8" t="str">
        <f ca="1">IFERROR(__xludf.DUMMYFUNCTION("""COMPUTED_VALUE"""),"Komsa 7/28D")</f>
        <v>Komsa 7/28D</v>
      </c>
      <c r="N443" s="8" t="str">
        <f ca="1">IFERROR(__xludf.DUMMYFUNCTION("""COMPUTED_VALUE"""),"L.up Busan")</f>
        <v>L.up Busan</v>
      </c>
      <c r="O443" s="8" t="str">
        <f ca="1">IFERROR(__xludf.DUMMYFUNCTION("""COMPUTED_VALUE"""),"0.8 m")</f>
        <v>0.8 m</v>
      </c>
    </row>
    <row r="444" spans="1:15" ht="15.75" customHeight="1" x14ac:dyDescent="0.25">
      <c r="A444" s="8" t="str">
        <f ca="1">IFERROR(__xludf.DUMMYFUNCTION("""COMPUTED_VALUE"""),"TA 1761/18")</f>
        <v>TA 1761/18</v>
      </c>
      <c r="B444" s="8" t="str">
        <f ca="1">IFERROR(__xludf.DUMMYFUNCTION("""COMPUTED_VALUE"""),"Oil Products Tanker")</f>
        <v>Oil Products Tanker</v>
      </c>
      <c r="C444" s="9">
        <f ca="1">IFERROR(__xludf.DUMMYFUNCTION("""COMPUTED_VALUE"""),1761)</f>
        <v>1761</v>
      </c>
      <c r="D444" s="8" t="str">
        <f ca="1">IFERROR(__xludf.DUMMYFUNCTION("""COMPUTED_VALUE"""),"2018-Turkey")</f>
        <v>2018-Turkey</v>
      </c>
      <c r="E444" s="8" t="str">
        <f ca="1">IFERROR(__xludf.DUMMYFUNCTION("""COMPUTED_VALUE"""),"68.06 x 10.80")</f>
        <v>68.06 x 10.80</v>
      </c>
      <c r="F444" s="8" t="str">
        <f ca="1">IFERROR(__xludf.DUMMYFUNCTION("""COMPUTED_VALUE"""),"10")</f>
        <v>10</v>
      </c>
      <c r="G444" s="8">
        <f ca="1">IFERROR(__xludf.DUMMYFUNCTION("""COMPUTED_VALUE"""),1727)</f>
        <v>1727</v>
      </c>
      <c r="H444" s="8" t="str">
        <f ca="1">IFERROR(__xludf.DUMMYFUNCTION("""COMPUTED_VALUE"""),"Y/N")</f>
        <v>Y/N</v>
      </c>
      <c r="I444" s="8" t="str">
        <f ca="1">IFERROR(__xludf.DUMMYFUNCTION("""COMPUTED_VALUE"""),"2 x 200 + 2 x 120")</f>
        <v>2 x 200 + 2 x 120</v>
      </c>
      <c r="J444" s="8" t="str">
        <f ca="1">IFERROR(__xludf.DUMMYFUNCTION("""COMPUTED_VALUE"""),"Volvo Penta")</f>
        <v>Volvo Penta</v>
      </c>
      <c r="K444" s="8" t="str">
        <f ca="1">IFERROR(__xludf.DUMMYFUNCTION("""COMPUTED_VALUE"""),"9.5 k/3.2 t DO")</f>
        <v>9.5 k/3.2 t DO</v>
      </c>
      <c r="L444" s="8" t="str">
        <f ca="1">IFERROR(__xludf.DUMMYFUNCTION("""COMPUTED_VALUE"""),"To be chkd")</f>
        <v>To be chkd</v>
      </c>
      <c r="M444" s="8" t="str">
        <f ca="1">IFERROR(__xludf.DUMMYFUNCTION("""COMPUTED_VALUE"""),"Rina 1/28D")</f>
        <v>Rina 1/28D</v>
      </c>
      <c r="N444" s="8" t="str">
        <f ca="1">IFERROR(__xludf.DUMMYFUNCTION("""COMPUTED_VALUE"""),"Med/B.Sea")</f>
        <v>Med/B.Sea</v>
      </c>
      <c r="O444" s="8" t="str">
        <f ca="1">IFERROR(__xludf.DUMMYFUNCTION("""COMPUTED_VALUE"""),"B.offers")</f>
        <v>B.offers</v>
      </c>
    </row>
    <row r="445" spans="1:15" ht="15.75" customHeight="1" x14ac:dyDescent="0.25">
      <c r="A445" s="8" t="str">
        <f ca="1">IFERROR(__xludf.DUMMYFUNCTION("""COMPUTED_VALUE"""),"TA 1750/17")</f>
        <v>TA 1750/17</v>
      </c>
      <c r="B445" s="8" t="str">
        <f ca="1">IFERROR(__xludf.DUMMYFUNCTION("""COMPUTED_VALUE"""),"Oil/Bunkering Tanker")</f>
        <v>Oil/Bunkering Tanker</v>
      </c>
      <c r="C445" s="9">
        <f ca="1">IFERROR(__xludf.DUMMYFUNCTION("""COMPUTED_VALUE"""),1750)</f>
        <v>1750</v>
      </c>
      <c r="D445" s="8" t="str">
        <f ca="1">IFERROR(__xludf.DUMMYFUNCTION("""COMPUTED_VALUE"""),"2017-Turkey")</f>
        <v>2017-Turkey</v>
      </c>
      <c r="E445" s="8" t="str">
        <f ca="1">IFERROR(__xludf.DUMMYFUNCTION("""COMPUTED_VALUE"""),"68.06 x 10.80")</f>
        <v>68.06 x 10.80</v>
      </c>
      <c r="F445" s="8" t="str">
        <f ca="1">IFERROR(__xludf.DUMMYFUNCTION("""COMPUTED_VALUE"""),"10")</f>
        <v>10</v>
      </c>
      <c r="G445" s="8">
        <f ca="1">IFERROR(__xludf.DUMMYFUNCTION("""COMPUTED_VALUE"""),1727)</f>
        <v>1727</v>
      </c>
      <c r="H445" s="8" t="str">
        <f ca="1">IFERROR(__xludf.DUMMYFUNCTION("""COMPUTED_VALUE"""),"Y/N")</f>
        <v>Y/N</v>
      </c>
      <c r="I445" s="8" t="str">
        <f ca="1">IFERROR(__xludf.DUMMYFUNCTION("""COMPUTED_VALUE"""),"2 x 200 + 2 x 120")</f>
        <v>2 x 200 + 2 x 120</v>
      </c>
      <c r="J445" s="8" t="str">
        <f ca="1">IFERROR(__xludf.DUMMYFUNCTION("""COMPUTED_VALUE"""),"2 Yanmar")</f>
        <v>2 Yanmar</v>
      </c>
      <c r="K445" s="8" t="str">
        <f ca="1">IFERROR(__xludf.DUMMYFUNCTION("""COMPUTED_VALUE"""),"11 k")</f>
        <v>11 k</v>
      </c>
      <c r="L445" s="8" t="str">
        <f ca="1">IFERROR(__xludf.DUMMYFUNCTION("""COMPUTED_VALUE"""),"To be chkd")</f>
        <v>To be chkd</v>
      </c>
      <c r="M445" s="8" t="str">
        <f ca="1">IFERROR(__xludf.DUMMYFUNCTION("""COMPUTED_VALUE"""),"Rina 10/27D")</f>
        <v>Rina 10/27D</v>
      </c>
      <c r="N445" s="8" t="str">
        <f ca="1">IFERROR(__xludf.DUMMYFUNCTION("""COMPUTED_VALUE"""),"Med/B.Sea")</f>
        <v>Med/B.Sea</v>
      </c>
      <c r="O445" s="8" t="str">
        <f ca="1">IFERROR(__xludf.DUMMYFUNCTION("""COMPUTED_VALUE"""),"B.offers")</f>
        <v>B.offers</v>
      </c>
    </row>
    <row r="446" spans="1:15" ht="15.75" customHeight="1" x14ac:dyDescent="0.25">
      <c r="A446" s="8" t="str">
        <f ca="1">IFERROR(__xludf.DUMMYFUNCTION("""COMPUTED_VALUE"""),"TA 1750/90")</f>
        <v>TA 1750/90</v>
      </c>
      <c r="B446" s="8" t="str">
        <f ca="1">IFERROR(__xludf.DUMMYFUNCTION("""COMPUTED_VALUE"""),"Products/Bunkering tanker")</f>
        <v>Products/Bunkering tanker</v>
      </c>
      <c r="C446" s="9">
        <f ca="1">IFERROR(__xludf.DUMMYFUNCTION("""COMPUTED_VALUE"""),1750)</f>
        <v>1750</v>
      </c>
      <c r="D446" s="8" t="str">
        <f ca="1">IFERROR(__xludf.DUMMYFUNCTION("""COMPUTED_VALUE"""),"1990-Turkey")</f>
        <v>1990-Turkey</v>
      </c>
      <c r="E446" s="8" t="str">
        <f ca="1">IFERROR(__xludf.DUMMYFUNCTION("""COMPUTED_VALUE"""),"-")</f>
        <v>-</v>
      </c>
      <c r="F446" s="8" t="str">
        <f ca="1">IFERROR(__xludf.DUMMYFUNCTION("""COMPUTED_VALUE"""),"10")</f>
        <v>10</v>
      </c>
      <c r="G446" s="8">
        <f ca="1">IFERROR(__xludf.DUMMYFUNCTION("""COMPUTED_VALUE"""),1902)</f>
        <v>1902</v>
      </c>
      <c r="H446" s="8" t="str">
        <f ca="1">IFERROR(__xludf.DUMMYFUNCTION("""COMPUTED_VALUE"""),"Y/N")</f>
        <v>Y/N</v>
      </c>
      <c r="I446" s="8" t="str">
        <f ca="1">IFERROR(__xludf.DUMMYFUNCTION("""COMPUTED_VALUE"""),"1x300 + 1x180")</f>
        <v>1x300 + 1x180</v>
      </c>
      <c r="J446" s="8" t="str">
        <f ca="1">IFERROR(__xludf.DUMMYFUNCTION("""COMPUTED_VALUE"""),"SKL")</f>
        <v>SKL</v>
      </c>
      <c r="K446" s="8" t="str">
        <f ca="1">IFERROR(__xludf.DUMMYFUNCTION("""COMPUTED_VALUE"""),"-")</f>
        <v>-</v>
      </c>
      <c r="L446" s="8" t="str">
        <f ca="1">IFERROR(__xludf.DUMMYFUNCTION("""COMPUTED_VALUE"""),"To be chkd")</f>
        <v>To be chkd</v>
      </c>
      <c r="M446" s="8" t="str">
        <f ca="1">IFERROR(__xludf.DUMMYFUNCTION("""COMPUTED_VALUE"""),"TL 7/25D")</f>
        <v>TL 7/25D</v>
      </c>
      <c r="N446" s="8" t="str">
        <f ca="1">IFERROR(__xludf.DUMMYFUNCTION("""COMPUTED_VALUE"""),"Marmar Sea")</f>
        <v>Marmar Sea</v>
      </c>
      <c r="O446" s="8" t="str">
        <f ca="1">IFERROR(__xludf.DUMMYFUNCTION("""COMPUTED_VALUE"""),"B.offers")</f>
        <v>B.offers</v>
      </c>
    </row>
    <row r="447" spans="1:15" ht="15.75" customHeight="1" x14ac:dyDescent="0.25">
      <c r="A447" s="8" t="str">
        <f ca="1">IFERROR(__xludf.DUMMYFUNCTION("""COMPUTED_VALUE"""),"TA 1700/11")</f>
        <v>TA 1700/11</v>
      </c>
      <c r="B447" s="8" t="str">
        <f ca="1">IFERROR(__xludf.DUMMYFUNCTION("""COMPUTED_VALUE"""),"Product Oil Tanker")</f>
        <v>Product Oil Tanker</v>
      </c>
      <c r="C447" s="9">
        <f ca="1">IFERROR(__xludf.DUMMYFUNCTION("""COMPUTED_VALUE"""),1700)</f>
        <v>1700</v>
      </c>
      <c r="D447" s="8" t="str">
        <f ca="1">IFERROR(__xludf.DUMMYFUNCTION("""COMPUTED_VALUE"""),"2011-China")</f>
        <v>2011-China</v>
      </c>
      <c r="E447" s="8" t="str">
        <f ca="1">IFERROR(__xludf.DUMMYFUNCTION("""COMPUTED_VALUE"""),"74.00 x 11.80")</f>
        <v>74.00 x 11.80</v>
      </c>
      <c r="F447" s="8"/>
      <c r="G447" s="8">
        <f ca="1">IFERROR(__xludf.DUMMYFUNCTION("""COMPUTED_VALUE"""),1698)</f>
        <v>1698</v>
      </c>
      <c r="H447" s="8" t="str">
        <f ca="1">IFERROR(__xludf.DUMMYFUNCTION("""COMPUTED_VALUE"""),"N/N")</f>
        <v>N/N</v>
      </c>
      <c r="I447" s="8" t="str">
        <f ca="1">IFERROR(__xludf.DUMMYFUNCTION("""COMPUTED_VALUE"""),"2x250 + 1x50")</f>
        <v>2x250 + 1x50</v>
      </c>
      <c r="J447" s="8" t="str">
        <f ca="1">IFERROR(__xludf.DUMMYFUNCTION("""COMPUTED_VALUE"""),"Weichai")</f>
        <v>Weichai</v>
      </c>
      <c r="K447" s="8" t="str">
        <f ca="1">IFERROR(__xludf.DUMMYFUNCTION("""COMPUTED_VALUE"""),"-")</f>
        <v>-</v>
      </c>
      <c r="L447" s="8" t="str">
        <f ca="1">IFERROR(__xludf.DUMMYFUNCTION("""COMPUTED_VALUE"""),"To be chkd")</f>
        <v>To be chkd</v>
      </c>
      <c r="M447" s="8" t="str">
        <f ca="1">IFERROR(__xludf.DUMMYFUNCTION("""COMPUTED_VALUE"""),"CCS Domest")</f>
        <v>CCS Domest</v>
      </c>
      <c r="N447" s="8" t="str">
        <f ca="1">IFERROR(__xludf.DUMMYFUNCTION("""COMPUTED_VALUE"""),"China")</f>
        <v>China</v>
      </c>
      <c r="O447" s="8" t="str">
        <f ca="1">IFERROR(__xludf.DUMMYFUNCTION("""COMPUTED_VALUE"""),"1.55 m")</f>
        <v>1.55 m</v>
      </c>
    </row>
    <row r="448" spans="1:15" ht="15.75" customHeight="1" x14ac:dyDescent="0.25">
      <c r="A448" s="8" t="str">
        <f ca="1">IFERROR(__xludf.DUMMYFUNCTION("""COMPUTED_VALUE"""),"TA 1620/02")</f>
        <v>TA 1620/02</v>
      </c>
      <c r="B448" s="8" t="str">
        <f ca="1">IFERROR(__xludf.DUMMYFUNCTION("""COMPUTED_VALUE"""),"StSt Oil/Prods Tanker")</f>
        <v>StSt Oil/Prods Tanker</v>
      </c>
      <c r="C448" s="9">
        <f ca="1">IFERROR(__xludf.DUMMYFUNCTION("""COMPUTED_VALUE"""),1620)</f>
        <v>1620</v>
      </c>
      <c r="D448" s="8" t="str">
        <f ca="1">IFERROR(__xludf.DUMMYFUNCTION("""COMPUTED_VALUE"""),"2002-Japan")</f>
        <v>2002-Japan</v>
      </c>
      <c r="E448" s="8" t="str">
        <f ca="1">IFERROR(__xludf.DUMMYFUNCTION("""COMPUTED_VALUE"""),"68.90 x 12.00")</f>
        <v>68.90 x 12.00</v>
      </c>
      <c r="F448" s="8" t="str">
        <f ca="1">IFERROR(__xludf.DUMMYFUNCTION("""COMPUTED_VALUE"""),"10")</f>
        <v>10</v>
      </c>
      <c r="G448" s="8">
        <f ca="1">IFERROR(__xludf.DUMMYFUNCTION("""COMPUTED_VALUE"""),1667)</f>
        <v>1667</v>
      </c>
      <c r="H448" s="8" t="str">
        <f ca="1">IFERROR(__xludf.DUMMYFUNCTION("""COMPUTED_VALUE"""),"N/Y stst")</f>
        <v>N/Y stst</v>
      </c>
      <c r="I448" s="8" t="str">
        <f ca="1">IFERROR(__xludf.DUMMYFUNCTION("""COMPUTED_VALUE"""),"750/300/200")</f>
        <v>750/300/200</v>
      </c>
      <c r="J448" s="8" t="str">
        <f ca="1">IFERROR(__xludf.DUMMYFUNCTION("""COMPUTED_VALUE"""),"Akasaka")</f>
        <v>Akasaka</v>
      </c>
      <c r="K448" s="8" t="str">
        <f ca="1">IFERROR(__xludf.DUMMYFUNCTION("""COMPUTED_VALUE"""),"12 k")</f>
        <v>12 k</v>
      </c>
      <c r="L448" s="8" t="str">
        <f ca="1">IFERROR(__xludf.DUMMYFUNCTION("""COMPUTED_VALUE"""),"To be chkd")</f>
        <v>To be chkd</v>
      </c>
      <c r="M448" s="8" t="str">
        <f ca="1">IFERROR(__xludf.DUMMYFUNCTION("""COMPUTED_VALUE"""),"Komsa Coast")</f>
        <v>Komsa Coast</v>
      </c>
      <c r="N448" s="8" t="str">
        <f ca="1">IFERROR(__xludf.DUMMYFUNCTION("""COMPUTED_VALUE"""),"Korea")</f>
        <v>Korea</v>
      </c>
      <c r="O448" s="8" t="str">
        <f ca="1">IFERROR(__xludf.DUMMYFUNCTION("""COMPUTED_VALUE"""),"2.2 m")</f>
        <v>2.2 m</v>
      </c>
    </row>
    <row r="449" spans="1:15" ht="15.75" customHeight="1" x14ac:dyDescent="0.25">
      <c r="A449" s="8" t="str">
        <f ca="1">IFERROR(__xludf.DUMMYFUNCTION("""COMPUTED_VALUE"""),"TA 1611/99")</f>
        <v>TA 1611/99</v>
      </c>
      <c r="B449" s="8" t="str">
        <f ca="1">IFERROR(__xludf.DUMMYFUNCTION("""COMPUTED_VALUE"""),"Coastal IMO II DPP Bunkering Tanker")</f>
        <v>Coastal IMO II DPP Bunkering Tanker</v>
      </c>
      <c r="C449" s="9">
        <f ca="1">IFERROR(__xludf.DUMMYFUNCTION("""COMPUTED_VALUE"""),1611)</f>
        <v>1611</v>
      </c>
      <c r="D449" s="8" t="str">
        <f ca="1">IFERROR(__xludf.DUMMYFUNCTION("""COMPUTED_VALUE"""),"1999-Japan")</f>
        <v>1999-Japan</v>
      </c>
      <c r="E449" s="8" t="str">
        <f ca="1">IFERROR(__xludf.DUMMYFUNCTION("""COMPUTED_VALUE"""),"69.92 x 11.20")</f>
        <v>69.92 x 11.20</v>
      </c>
      <c r="F449" s="8" t="str">
        <f ca="1">IFERROR(__xludf.DUMMYFUNCTION("""COMPUTED_VALUE"""),"10")</f>
        <v>10</v>
      </c>
      <c r="G449" s="8">
        <f ca="1">IFERROR(__xludf.DUMMYFUNCTION("""COMPUTED_VALUE"""),1666)</f>
        <v>1666</v>
      </c>
      <c r="H449" s="8" t="str">
        <f ca="1">IFERROR(__xludf.DUMMYFUNCTION("""COMPUTED_VALUE"""),"N/N")</f>
        <v>N/N</v>
      </c>
      <c r="I449" s="8" t="str">
        <f ca="1">IFERROR(__xludf.DUMMYFUNCTION("""COMPUTED_VALUE"""),"1 x 500")</f>
        <v>1 x 500</v>
      </c>
      <c r="J449" s="8" t="str">
        <f ca="1">IFERROR(__xludf.DUMMYFUNCTION("""COMPUTED_VALUE"""),"Hanshin")</f>
        <v>Hanshin</v>
      </c>
      <c r="K449" s="8" t="str">
        <f ca="1">IFERROR(__xludf.DUMMYFUNCTION("""COMPUTED_VALUE"""),"12 k")</f>
        <v>12 k</v>
      </c>
      <c r="L449" s="8" t="str">
        <f ca="1">IFERROR(__xludf.DUMMYFUNCTION("""COMPUTED_VALUE"""),"To be chkd")</f>
        <v>To be chkd</v>
      </c>
      <c r="M449" s="8" t="str">
        <f ca="1">IFERROR(__xludf.DUMMYFUNCTION("""COMPUTED_VALUE"""),"Komsa 8/26D")</f>
        <v>Komsa 8/26D</v>
      </c>
      <c r="N449" s="8" t="str">
        <f ca="1">IFERROR(__xludf.DUMMYFUNCTION("""COMPUTED_VALUE"""),"Korea")</f>
        <v>Korea</v>
      </c>
      <c r="O449" s="8" t="str">
        <f ca="1">IFERROR(__xludf.DUMMYFUNCTION("""COMPUTED_VALUE"""),"1.1-1.0 m")</f>
        <v>1.1-1.0 m</v>
      </c>
    </row>
    <row r="450" spans="1:15" ht="15.75" customHeight="1" x14ac:dyDescent="0.25">
      <c r="A450" s="8" t="str">
        <f ca="1">IFERROR(__xludf.DUMMYFUNCTION("""COMPUTED_VALUE"""),"TA 1520/03")</f>
        <v>TA 1520/03</v>
      </c>
      <c r="B450" s="8" t="str">
        <f ca="1">IFERROR(__xludf.DUMMYFUNCTION("""COMPUTED_VALUE"""),"Chemical/Products Tanker (BB/HP)")</f>
        <v>Chemical/Products Tanker (BB/HP)</v>
      </c>
      <c r="C450" s="9">
        <f ca="1">IFERROR(__xludf.DUMMYFUNCTION("""COMPUTED_VALUE"""),1520)</f>
        <v>1520</v>
      </c>
      <c r="D450" s="8" t="str">
        <f ca="1">IFERROR(__xludf.DUMMYFUNCTION("""COMPUTED_VALUE"""),"2003-Turkey")</f>
        <v>2003-Turkey</v>
      </c>
      <c r="E450" s="8" t="str">
        <f ca="1">IFERROR(__xludf.DUMMYFUNCTION("""COMPUTED_VALUE"""),"70.14 x 10.45")</f>
        <v>70.14 x 10.45</v>
      </c>
      <c r="F450" s="8" t="str">
        <f ca="1">IFERROR(__xludf.DUMMYFUNCTION("""COMPUTED_VALUE"""),"9")</f>
        <v>9</v>
      </c>
      <c r="G450" s="8">
        <f ca="1">IFERROR(__xludf.DUMMYFUNCTION("""COMPUTED_VALUE"""),1614)</f>
        <v>1614</v>
      </c>
      <c r="H450" s="8" t="str">
        <f ca="1">IFERROR(__xludf.DUMMYFUNCTION("""COMPUTED_VALUE"""),"Y/Y Marineline")</f>
        <v>Y/Y Marineline</v>
      </c>
      <c r="I450" s="8" t="str">
        <f ca="1">IFERROR(__xludf.DUMMYFUNCTION("""COMPUTED_VALUE"""),"9 x 100")</f>
        <v>9 x 100</v>
      </c>
      <c r="J450" s="8" t="str">
        <f ca="1">IFERROR(__xludf.DUMMYFUNCTION("""COMPUTED_VALUE"""),"MAK")</f>
        <v>MAK</v>
      </c>
      <c r="K450" s="8" t="str">
        <f ca="1">IFERROR(__xludf.DUMMYFUNCTION("""COMPUTED_VALUE"""),"10.5 k")</f>
        <v>10.5 k</v>
      </c>
      <c r="L450" s="8" t="str">
        <f ca="1">IFERROR(__xludf.DUMMYFUNCTION("""COMPUTED_VALUE"""),"To be chkd")</f>
        <v>To be chkd</v>
      </c>
      <c r="M450" s="8" t="str">
        <f ca="1">IFERROR(__xludf.DUMMYFUNCTION("""COMPUTED_VALUE"""),"BV 6.28D")</f>
        <v>BV 6.28D</v>
      </c>
      <c r="N450" s="8" t="str">
        <f ca="1">IFERROR(__xludf.DUMMYFUNCTION("""COMPUTED_VALUE"""),"Escobar, Argentina")</f>
        <v>Escobar, Argentina</v>
      </c>
      <c r="O450" s="8" t="str">
        <f ca="1">IFERROR(__xludf.DUMMYFUNCTION("""COMPUTED_VALUE"""),"3.5-3.2 m")</f>
        <v>3.5-3.2 m</v>
      </c>
    </row>
    <row r="451" spans="1:15" ht="15.75" customHeight="1" x14ac:dyDescent="0.25">
      <c r="A451" s="8" t="str">
        <f ca="1">IFERROR(__xludf.DUMMYFUNCTION("""COMPUTED_VALUE"""),"TA 1500/06")</f>
        <v>TA 1500/06</v>
      </c>
      <c r="B451" s="8" t="str">
        <f ca="1">IFERROR(__xludf.DUMMYFUNCTION("""COMPUTED_VALUE"""),"StSt Chem.Tker IMO2")</f>
        <v>StSt Chem.Tker IMO2</v>
      </c>
      <c r="C451" s="9">
        <f ca="1">IFERROR(__xludf.DUMMYFUNCTION("""COMPUTED_VALUE"""),1500)</f>
        <v>1500</v>
      </c>
      <c r="D451" s="8" t="str">
        <f ca="1">IFERROR(__xludf.DUMMYFUNCTION("""COMPUTED_VALUE"""),"2006-China")</f>
        <v>2006-China</v>
      </c>
      <c r="E451" s="8" t="str">
        <f ca="1">IFERROR(__xludf.DUMMYFUNCTION("""COMPUTED_VALUE"""),"65.00 x 12.00")</f>
        <v>65.00 x 12.00</v>
      </c>
      <c r="F451" s="8" t="str">
        <f ca="1">IFERROR(__xludf.DUMMYFUNCTION("""COMPUTED_VALUE"""),"8")</f>
        <v>8</v>
      </c>
      <c r="G451" s="8">
        <f ca="1">IFERROR(__xludf.DUMMYFUNCTION("""COMPUTED_VALUE"""),1738)</f>
        <v>1738</v>
      </c>
      <c r="H451" s="8" t="str">
        <f ca="1">IFERROR(__xludf.DUMMYFUNCTION("""COMPUTED_VALUE"""),"N/Y st.st. Tks")</f>
        <v>N/Y st.st. Tks</v>
      </c>
      <c r="I451" s="8" t="str">
        <f ca="1">IFERROR(__xludf.DUMMYFUNCTION("""COMPUTED_VALUE"""),"2 x 245")</f>
        <v>2 x 245</v>
      </c>
      <c r="J451" s="8" t="str">
        <f ca="1">IFERROR(__xludf.DUMMYFUNCTION("""COMPUTED_VALUE"""),"Zibo Diesel")</f>
        <v>Zibo Diesel</v>
      </c>
      <c r="K451" s="8" t="str">
        <f ca="1">IFERROR(__xludf.DUMMYFUNCTION("""COMPUTED_VALUE"""),"-")</f>
        <v>-</v>
      </c>
      <c r="L451" s="8" t="str">
        <f ca="1">IFERROR(__xludf.DUMMYFUNCTION("""COMPUTED_VALUE"""),"To be chkd")</f>
        <v>To be chkd</v>
      </c>
      <c r="M451" s="8" t="str">
        <f ca="1">IFERROR(__xludf.DUMMYFUNCTION("""COMPUTED_VALUE"""),"CCS 15/26D")</f>
        <v>CCS 15/26D</v>
      </c>
      <c r="N451" s="8" t="str">
        <f ca="1">IFERROR(__xludf.DUMMYFUNCTION("""COMPUTED_VALUE"""),"Fareast")</f>
        <v>Fareast</v>
      </c>
      <c r="O451" s="8" t="str">
        <f ca="1">IFERROR(__xludf.DUMMYFUNCTION("""COMPUTED_VALUE"""),"B.offers")</f>
        <v>B.offers</v>
      </c>
    </row>
    <row r="452" spans="1:15" ht="15.75" customHeight="1" x14ac:dyDescent="0.25">
      <c r="A452" s="8" t="str">
        <f ca="1">IFERROR(__xludf.DUMMYFUNCTION("""COMPUTED_VALUE"""),"TA 1485/99")</f>
        <v>TA 1485/99</v>
      </c>
      <c r="B452" s="8" t="str">
        <f ca="1">IFERROR(__xludf.DUMMYFUNCTION("""COMPUTED_VALUE"""),"Product/Oil Tanker")</f>
        <v>Product/Oil Tanker</v>
      </c>
      <c r="C452" s="9">
        <f ca="1">IFERROR(__xludf.DUMMYFUNCTION("""COMPUTED_VALUE"""),1485)</f>
        <v>1485</v>
      </c>
      <c r="D452" s="8" t="str">
        <f ca="1">IFERROR(__xludf.DUMMYFUNCTION("""COMPUTED_VALUE"""),"1999-Turkey")</f>
        <v>1999-Turkey</v>
      </c>
      <c r="E452" s="8" t="str">
        <f ca="1">IFERROR(__xludf.DUMMYFUNCTION("""COMPUTED_VALUE"""),"67.65 x 9.68")</f>
        <v>67.65 x 9.68</v>
      </c>
      <c r="F452" s="8" t="str">
        <f ca="1">IFERROR(__xludf.DUMMYFUNCTION("""COMPUTED_VALUE"""),"12")</f>
        <v>12</v>
      </c>
      <c r="G452" s="8">
        <f ca="1">IFERROR(__xludf.DUMMYFUNCTION("""COMPUTED_VALUE"""),1368)</f>
        <v>1368</v>
      </c>
      <c r="H452" s="8" t="str">
        <f ca="1">IFERROR(__xludf.DUMMYFUNCTION("""COMPUTED_VALUE"""),"Y/N")</f>
        <v>Y/N</v>
      </c>
      <c r="I452" s="8" t="str">
        <f ca="1">IFERROR(__xludf.DUMMYFUNCTION("""COMPUTED_VALUE"""),"2 x 250")</f>
        <v>2 x 250</v>
      </c>
      <c r="J452" s="8" t="str">
        <f ca="1">IFERROR(__xludf.DUMMYFUNCTION("""COMPUTED_VALUE"""),"Deutz")</f>
        <v>Deutz</v>
      </c>
      <c r="K452" s="8" t="str">
        <f ca="1">IFERROR(__xludf.DUMMYFUNCTION("""COMPUTED_VALUE"""),"10 k/2.4 t GO")</f>
        <v>10 k/2.4 t GO</v>
      </c>
      <c r="L452" s="8" t="str">
        <f ca="1">IFERROR(__xludf.DUMMYFUNCTION("""COMPUTED_VALUE"""),"To be chkd")</f>
        <v>To be chkd</v>
      </c>
      <c r="M452" s="8" t="str">
        <f ca="1">IFERROR(__xludf.DUMMYFUNCTION("""COMPUTED_VALUE"""),"No Class")</f>
        <v>No Class</v>
      </c>
      <c r="N452" s="8" t="str">
        <f ca="1">IFERROR(__xludf.DUMMYFUNCTION("""COMPUTED_VALUE"""),"Med")</f>
        <v>Med</v>
      </c>
      <c r="O452" s="8" t="str">
        <f ca="1">IFERROR(__xludf.DUMMYFUNCTION("""COMPUTED_VALUE"""),"B.offers")</f>
        <v>B.offers</v>
      </c>
    </row>
    <row r="453" spans="1:15" ht="15.75" customHeight="1" x14ac:dyDescent="0.25">
      <c r="A453" s="8" t="str">
        <f ca="1">IFERROR(__xludf.DUMMYFUNCTION("""COMPUTED_VALUE"""),"TA 1247/96")</f>
        <v>TA 1247/96</v>
      </c>
      <c r="B453" s="8" t="str">
        <f ca="1">IFERROR(__xludf.DUMMYFUNCTION("""COMPUTED_VALUE"""),"StSt Bunkering Tanker")</f>
        <v>StSt Bunkering Tanker</v>
      </c>
      <c r="C453" s="9">
        <f ca="1">IFERROR(__xludf.DUMMYFUNCTION("""COMPUTED_VALUE"""),1247)</f>
        <v>1247</v>
      </c>
      <c r="D453" s="8" t="str">
        <f ca="1">IFERROR(__xludf.DUMMYFUNCTION("""COMPUTED_VALUE"""),"1996-Japan")</f>
        <v>1996-Japan</v>
      </c>
      <c r="E453" s="8" t="str">
        <f ca="1">IFERROR(__xludf.DUMMYFUNCTION("""COMPUTED_VALUE"""),"65.00 x 10.40")</f>
        <v>65.00 x 10.40</v>
      </c>
      <c r="F453" s="8" t="str">
        <f ca="1">IFERROR(__xludf.DUMMYFUNCTION("""COMPUTED_VALUE"""),"8")</f>
        <v>8</v>
      </c>
      <c r="G453" s="8">
        <f ca="1">IFERROR(__xludf.DUMMYFUNCTION("""COMPUTED_VALUE"""),1278)</f>
        <v>1278</v>
      </c>
      <c r="H453" s="8" t="str">
        <f ca="1">IFERROR(__xludf.DUMMYFUNCTION("""COMPUTED_VALUE"""),"Y/Y stst tanks")</f>
        <v>Y/Y stst tanks</v>
      </c>
      <c r="I453" s="8" t="str">
        <f ca="1">IFERROR(__xludf.DUMMYFUNCTION("""COMPUTED_VALUE"""),"2 x 300")</f>
        <v>2 x 300</v>
      </c>
      <c r="J453" s="8" t="str">
        <f ca="1">IFERROR(__xludf.DUMMYFUNCTION("""COMPUTED_VALUE"""),"Hanshin")</f>
        <v>Hanshin</v>
      </c>
      <c r="K453" s="8" t="str">
        <f ca="1">IFERROR(__xludf.DUMMYFUNCTION("""COMPUTED_VALUE"""),"11 k")</f>
        <v>11 k</v>
      </c>
      <c r="L453" s="8" t="str">
        <f ca="1">IFERROR(__xludf.DUMMYFUNCTION("""COMPUTED_VALUE"""),"To be chkd")</f>
        <v>To be chkd</v>
      </c>
      <c r="M453" s="8" t="str">
        <f ca="1">IFERROR(__xludf.DUMMYFUNCTION("""COMPUTED_VALUE"""),"Komsa Due")</f>
        <v>Komsa Due</v>
      </c>
      <c r="N453" s="8" t="str">
        <f ca="1">IFERROR(__xludf.DUMMYFUNCTION("""COMPUTED_VALUE"""),"Korea")</f>
        <v>Korea</v>
      </c>
      <c r="O453" s="8" t="str">
        <f ca="1">IFERROR(__xludf.DUMMYFUNCTION("""COMPUTED_VALUE"""),"0.65 m")</f>
        <v>0.65 m</v>
      </c>
    </row>
    <row r="454" spans="1:15" ht="15.75" customHeight="1" x14ac:dyDescent="0.25">
      <c r="A454" s="8" t="str">
        <f ca="1">IFERROR(__xludf.DUMMYFUNCTION("""COMPUTED_VALUE"""),"TA 1103/13")</f>
        <v>TA 1103/13</v>
      </c>
      <c r="B454" s="8" t="str">
        <f ca="1">IFERROR(__xludf.DUMMYFUNCTION("""COMPUTED_VALUE"""),"Bunkering DPP Tk")</f>
        <v>Bunkering DPP Tk</v>
      </c>
      <c r="C454" s="9">
        <f ca="1">IFERROR(__xludf.DUMMYFUNCTION("""COMPUTED_VALUE"""),1103)</f>
        <v>1103</v>
      </c>
      <c r="D454" s="8" t="str">
        <f ca="1">IFERROR(__xludf.DUMMYFUNCTION("""COMPUTED_VALUE"""),"2013-China")</f>
        <v>2013-China</v>
      </c>
      <c r="E454" s="8" t="str">
        <f ca="1">IFERROR(__xludf.DUMMYFUNCTION("""COMPUTED_VALUE"""),"59.05 x 9.20")</f>
        <v>59.05 x 9.20</v>
      </c>
      <c r="F454" s="8" t="str">
        <f ca="1">IFERROR(__xludf.DUMMYFUNCTION("""COMPUTED_VALUE"""),"12")</f>
        <v>12</v>
      </c>
      <c r="G454" s="8">
        <f ca="1">IFERROR(__xludf.DUMMYFUNCTION("""COMPUTED_VALUE"""),1265)</f>
        <v>1265</v>
      </c>
      <c r="H454" s="8" t="str">
        <f ca="1">IFERROR(__xludf.DUMMYFUNCTION("""COMPUTED_VALUE"""),"N/N")</f>
        <v>N/N</v>
      </c>
      <c r="I454" s="8" t="str">
        <f ca="1">IFERROR(__xludf.DUMMYFUNCTION("""COMPUTED_VALUE"""),"2 x 500")</f>
        <v>2 x 500</v>
      </c>
      <c r="J454" s="8" t="str">
        <f ca="1">IFERROR(__xludf.DUMMYFUNCTION("""COMPUTED_VALUE"""),"Anqing")</f>
        <v>Anqing</v>
      </c>
      <c r="K454" s="8" t="str">
        <f ca="1">IFERROR(__xludf.DUMMYFUNCTION("""COMPUTED_VALUE"""),"10k/5 t IFO")</f>
        <v>10k/5 t IFO</v>
      </c>
      <c r="L454" s="8" t="str">
        <f ca="1">IFERROR(__xludf.DUMMYFUNCTION("""COMPUTED_VALUE"""),"To be chkd")</f>
        <v>To be chkd</v>
      </c>
      <c r="M454" s="8" t="str">
        <f ca="1">IFERROR(__xludf.DUMMYFUNCTION("""COMPUTED_VALUE"""),"KST 1.28D")</f>
        <v>KST 1.28D</v>
      </c>
      <c r="N454" s="8" t="str">
        <f ca="1">IFERROR(__xludf.DUMMYFUNCTION("""COMPUTED_VALUE"""),"Fareast")</f>
        <v>Fareast</v>
      </c>
      <c r="O454" s="8" t="str">
        <f ca="1">IFERROR(__xludf.DUMMYFUNCTION("""COMPUTED_VALUE"""),"1.45 m")</f>
        <v>1.45 m</v>
      </c>
    </row>
    <row r="455" spans="1:15" ht="15.75" customHeight="1" x14ac:dyDescent="0.25">
      <c r="A455" s="8" t="str">
        <f ca="1">IFERROR(__xludf.DUMMYFUNCTION("""COMPUTED_VALUE"""),"TA 1050/13")</f>
        <v>TA 1050/13</v>
      </c>
      <c r="B455" s="8" t="str">
        <f ca="1">IFERROR(__xludf.DUMMYFUNCTION("""COMPUTED_VALUE"""),"Bunkering DPP Tk")</f>
        <v>Bunkering DPP Tk</v>
      </c>
      <c r="C455" s="9">
        <f ca="1">IFERROR(__xludf.DUMMYFUNCTION("""COMPUTED_VALUE"""),1050)</f>
        <v>1050</v>
      </c>
      <c r="D455" s="8" t="str">
        <f ca="1">IFERROR(__xludf.DUMMYFUNCTION("""COMPUTED_VALUE"""),"2013-China")</f>
        <v>2013-China</v>
      </c>
      <c r="E455" s="8" t="str">
        <f ca="1">IFERROR(__xludf.DUMMYFUNCTION("""COMPUTED_VALUE"""),"59.05 x 9.20")</f>
        <v>59.05 x 9.20</v>
      </c>
      <c r="F455" s="8" t="str">
        <f ca="1">IFERROR(__xludf.DUMMYFUNCTION("""COMPUTED_VALUE"""),"10")</f>
        <v>10</v>
      </c>
      <c r="G455" s="8">
        <f ca="1">IFERROR(__xludf.DUMMYFUNCTION("""COMPUTED_VALUE"""),997)</f>
        <v>997</v>
      </c>
      <c r="H455" s="8" t="str">
        <f ca="1">IFERROR(__xludf.DUMMYFUNCTION("""COMPUTED_VALUE"""),"N/N")</f>
        <v>N/N</v>
      </c>
      <c r="I455" s="8" t="str">
        <f ca="1">IFERROR(__xludf.DUMMYFUNCTION("""COMPUTED_VALUE"""),"2x500+1x80")</f>
        <v>2x500+1x80</v>
      </c>
      <c r="J455" s="8" t="str">
        <f ca="1">IFERROR(__xludf.DUMMYFUNCTION("""COMPUTED_VALUE"""),"Daihatsu")</f>
        <v>Daihatsu</v>
      </c>
      <c r="K455" s="8" t="str">
        <f ca="1">IFERROR(__xludf.DUMMYFUNCTION("""COMPUTED_VALUE"""),"11k ")</f>
        <v xml:space="preserve">11k </v>
      </c>
      <c r="L455" s="8" t="str">
        <f ca="1">IFERROR(__xludf.DUMMYFUNCTION("""COMPUTED_VALUE"""),"To be chkd")</f>
        <v>To be chkd</v>
      </c>
      <c r="M455" s="8" t="str">
        <f ca="1">IFERROR(__xludf.DUMMYFUNCTION("""COMPUTED_VALUE"""),"KST 9.26D")</f>
        <v>KST 9.26D</v>
      </c>
      <c r="N455" s="8" t="str">
        <f ca="1">IFERROR(__xludf.DUMMYFUNCTION("""COMPUTED_VALUE"""),"Fareast")</f>
        <v>Fareast</v>
      </c>
      <c r="O455" s="8" t="str">
        <f ca="1">IFERROR(__xludf.DUMMYFUNCTION("""COMPUTED_VALUE"""),"1.9 m")</f>
        <v>1.9 m</v>
      </c>
    </row>
    <row r="456" spans="1:15" ht="15.75" customHeight="1" x14ac:dyDescent="0.25">
      <c r="A456" s="8" t="str">
        <f ca="1">IFERROR(__xludf.DUMMYFUNCTION("""COMPUTED_VALUE"""),"TA 1018/21")</f>
        <v>TA 1018/21</v>
      </c>
      <c r="B456" s="8" t="str">
        <f ca="1">IFERROR(__xludf.DUMMYFUNCTION("""COMPUTED_VALUE"""),"CPP/IMO II Coastal")</f>
        <v>CPP/IMO II Coastal</v>
      </c>
      <c r="C456" s="9">
        <f ca="1">IFERROR(__xludf.DUMMYFUNCTION("""COMPUTED_VALUE"""),1018)</f>
        <v>1018</v>
      </c>
      <c r="D456" s="8" t="str">
        <f ca="1">IFERROR(__xludf.DUMMYFUNCTION("""COMPUTED_VALUE"""),"2021-Korea")</f>
        <v>2021-Korea</v>
      </c>
      <c r="E456" s="8" t="str">
        <f ca="1">IFERROR(__xludf.DUMMYFUNCTION("""COMPUTED_VALUE"""),"54.56 X 9.40")</f>
        <v>54.56 X 9.40</v>
      </c>
      <c r="F456" s="8" t="str">
        <f ca="1">IFERROR(__xludf.DUMMYFUNCTION("""COMPUTED_VALUE"""),"10")</f>
        <v>10</v>
      </c>
      <c r="G456" s="8">
        <f ca="1">IFERROR(__xludf.DUMMYFUNCTION("""COMPUTED_VALUE"""),1142)</f>
        <v>1142</v>
      </c>
      <c r="H456" s="8" t="str">
        <f ca="1">IFERROR(__xludf.DUMMYFUNCTION("""COMPUTED_VALUE"""),"N/N")</f>
        <v>N/N</v>
      </c>
      <c r="I456" s="8" t="str">
        <f ca="1">IFERROR(__xludf.DUMMYFUNCTION("""COMPUTED_VALUE"""),"1x300+1x150")</f>
        <v>1x300+1x150</v>
      </c>
      <c r="J456" s="8" t="str">
        <f ca="1">IFERROR(__xludf.DUMMYFUNCTION("""COMPUTED_VALUE"""),"K")</f>
        <v>K</v>
      </c>
      <c r="K456" s="8" t="str">
        <f ca="1">IFERROR(__xludf.DUMMYFUNCTION("""COMPUTED_VALUE"""),"-")</f>
        <v>-</v>
      </c>
      <c r="L456" s="8" t="str">
        <f ca="1">IFERROR(__xludf.DUMMYFUNCTION("""COMPUTED_VALUE"""),"To be chkd")</f>
        <v>To be chkd</v>
      </c>
      <c r="M456" s="8" t="str">
        <f ca="1">IFERROR(__xludf.DUMMYFUNCTION("""COMPUTED_VALUE"""),"Komsa 2/26D")</f>
        <v>Komsa 2/26D</v>
      </c>
      <c r="N456" s="8" t="str">
        <f ca="1">IFERROR(__xludf.DUMMYFUNCTION("""COMPUTED_VALUE"""),"Korea")</f>
        <v>Korea</v>
      </c>
      <c r="O456" s="8" t="str">
        <f ca="1">IFERROR(__xludf.DUMMYFUNCTION("""COMPUTED_VALUE"""),"2.6 m")</f>
        <v>2.6 m</v>
      </c>
    </row>
    <row r="457" spans="1:15" ht="15.75" customHeight="1" x14ac:dyDescent="0.25">
      <c r="A457" s="12" t="str">
        <f ca="1">IFERROR(__xludf.DUMMYFUNCTION("""COMPUTED_VALUE"""),"TA 1018/06")</f>
        <v>TA 1018/06</v>
      </c>
      <c r="B457" s="12" t="str">
        <f ca="1">IFERROR(__xludf.DUMMYFUNCTION("""COMPUTED_VALUE"""),"Products Tanker")</f>
        <v>Products Tanker</v>
      </c>
      <c r="C457" s="13">
        <f ca="1">IFERROR(__xludf.DUMMYFUNCTION("""COMPUTED_VALUE"""),1018)</f>
        <v>1018</v>
      </c>
      <c r="D457" s="12" t="str">
        <f ca="1">IFERROR(__xludf.DUMMYFUNCTION("""COMPUTED_VALUE"""),"2006-Turkey")</f>
        <v>2006-Turkey</v>
      </c>
      <c r="E457" s="12" t="str">
        <f ca="1">IFERROR(__xludf.DUMMYFUNCTION("""COMPUTED_VALUE"""),"57.75 x 9.20")</f>
        <v>57.75 x 9.20</v>
      </c>
      <c r="F457" s="12" t="str">
        <f ca="1">IFERROR(__xludf.DUMMYFUNCTION("""COMPUTED_VALUE"""),"12")</f>
        <v>12</v>
      </c>
      <c r="G457" s="12">
        <f ca="1">IFERROR(__xludf.DUMMYFUNCTION("""COMPUTED_VALUE"""),1126)</f>
        <v>1126</v>
      </c>
      <c r="H457" s="12" t="str">
        <f ca="1">IFERROR(__xludf.DUMMYFUNCTION("""COMPUTED_VALUE"""),"Y stst/Y Epoxy")</f>
        <v>Y stst/Y Epoxy</v>
      </c>
      <c r="I457" s="12" t="str">
        <f ca="1">IFERROR(__xludf.DUMMYFUNCTION("""COMPUTED_VALUE"""),"2 x 115 + 1 x 200")</f>
        <v>2 x 115 + 1 x 200</v>
      </c>
      <c r="J457" s="12" t="str">
        <f ca="1">IFERROR(__xludf.DUMMYFUNCTION("""COMPUTED_VALUE"""),"Mitsubishi")</f>
        <v>Mitsubishi</v>
      </c>
      <c r="K457" s="12" t="str">
        <f ca="1">IFERROR(__xludf.DUMMYFUNCTION("""COMPUTED_VALUE"""),"10 kn/1.6 t GO")</f>
        <v>10 kn/1.6 t GO</v>
      </c>
      <c r="L457" s="12" t="str">
        <f ca="1">IFERROR(__xludf.DUMMYFUNCTION("""COMPUTED_VALUE"""),"To be chkd")</f>
        <v>To be chkd</v>
      </c>
      <c r="M457" s="12" t="str">
        <f ca="1">IFERROR(__xludf.DUMMYFUNCTION("""COMPUTED_VALUE"""),"TL 11/25D")</f>
        <v>TL 11/25D</v>
      </c>
      <c r="N457" s="12" t="str">
        <f ca="1">IFERROR(__xludf.DUMMYFUNCTION("""COMPUTED_VALUE"""),"Black Sea")</f>
        <v>Black Sea</v>
      </c>
      <c r="O457" s="12" t="str">
        <f ca="1">IFERROR(__xludf.DUMMYFUNCTION("""COMPUTED_VALUE"""),"B.offers")</f>
        <v>B.offers</v>
      </c>
    </row>
    <row r="458" spans="1:15" ht="15.75" customHeight="1" x14ac:dyDescent="0.25">
      <c r="A458" s="8" t="str">
        <f ca="1">IFERROR(__xludf.DUMMYFUNCTION("""COMPUTED_VALUE"""),"TA 926/12")</f>
        <v>TA 926/12</v>
      </c>
      <c r="B458" s="8" t="str">
        <f ca="1">IFERROR(__xludf.DUMMYFUNCTION("""COMPUTED_VALUE"""),"Oil/Products Tanker")</f>
        <v>Oil/Products Tanker</v>
      </c>
      <c r="C458" s="9">
        <f ca="1">IFERROR(__xludf.DUMMYFUNCTION("""COMPUTED_VALUE"""),926)</f>
        <v>926</v>
      </c>
      <c r="D458" s="8" t="str">
        <f ca="1">IFERROR(__xludf.DUMMYFUNCTION("""COMPUTED_VALUE"""),"2012-Korea")</f>
        <v>2012-Korea</v>
      </c>
      <c r="E458" s="8" t="str">
        <f ca="1">IFERROR(__xludf.DUMMYFUNCTION("""COMPUTED_VALUE"""),"52.75 x 9.00")</f>
        <v>52.75 x 9.00</v>
      </c>
      <c r="F458" s="8" t="str">
        <f ca="1">IFERROR(__xludf.DUMMYFUNCTION("""COMPUTED_VALUE"""),"12")</f>
        <v>12</v>
      </c>
      <c r="G458" s="8">
        <f ca="1">IFERROR(__xludf.DUMMYFUNCTION("""COMPUTED_VALUE"""),792)</f>
        <v>792</v>
      </c>
      <c r="H458" s="8" t="str">
        <f ca="1">IFERROR(__xludf.DUMMYFUNCTION("""COMPUTED_VALUE"""),"N/Y Epoxy")</f>
        <v>N/Y Epoxy</v>
      </c>
      <c r="I458" s="8" t="str">
        <f ca="1">IFERROR(__xludf.DUMMYFUNCTION("""COMPUTED_VALUE"""),"1x300+1x150")</f>
        <v>1x300+1x150</v>
      </c>
      <c r="J458" s="8" t="str">
        <f ca="1">IFERROR(__xludf.DUMMYFUNCTION("""COMPUTED_VALUE"""),"Yanmar")</f>
        <v>Yanmar</v>
      </c>
      <c r="K458" s="8" t="str">
        <f ca="1">IFERROR(__xludf.DUMMYFUNCTION("""COMPUTED_VALUE"""),"8 kn")</f>
        <v>8 kn</v>
      </c>
      <c r="L458" s="8" t="str">
        <f ca="1">IFERROR(__xludf.DUMMYFUNCTION("""COMPUTED_VALUE"""),"To be chkd")</f>
        <v>To be chkd</v>
      </c>
      <c r="M458" s="8" t="str">
        <f ca="1">IFERROR(__xludf.DUMMYFUNCTION("""COMPUTED_VALUE"""),"KRS 12.27D")</f>
        <v>KRS 12.27D</v>
      </c>
      <c r="N458" s="8" t="str">
        <f ca="1">IFERROR(__xludf.DUMMYFUNCTION("""COMPUTED_VALUE"""),"Korea")</f>
        <v>Korea</v>
      </c>
      <c r="O458" s="8" t="str">
        <f ca="1">IFERROR(__xludf.DUMMYFUNCTION("""COMPUTED_VALUE"""),"1.6 m")</f>
        <v>1.6 m</v>
      </c>
    </row>
    <row r="459" spans="1:15" ht="15.75" customHeight="1" x14ac:dyDescent="0.25">
      <c r="A459" s="8" t="str">
        <f ca="1">IFERROR(__xludf.DUMMYFUNCTION("""COMPUTED_VALUE"""),"TA 902/14")</f>
        <v>TA 902/14</v>
      </c>
      <c r="B459" s="8" t="str">
        <f ca="1">IFERROR(__xludf.DUMMYFUNCTION("""COMPUTED_VALUE"""),"DPP/Oil IMO II Coast")</f>
        <v>DPP/Oil IMO II Coast</v>
      </c>
      <c r="C459" s="9">
        <f ca="1">IFERROR(__xludf.DUMMYFUNCTION("""COMPUTED_VALUE"""),902)</f>
        <v>902</v>
      </c>
      <c r="D459" s="8" t="str">
        <f ca="1">IFERROR(__xludf.DUMMYFUNCTION("""COMPUTED_VALUE"""),"2014-China")</f>
        <v>2014-China</v>
      </c>
      <c r="E459" s="8" t="str">
        <f ca="1">IFERROR(__xludf.DUMMYFUNCTION("""COMPUTED_VALUE"""),"53.19 x 9.20")</f>
        <v>53.19 x 9.20</v>
      </c>
      <c r="F459" s="8" t="str">
        <f ca="1">IFERROR(__xludf.DUMMYFUNCTION("""COMPUTED_VALUE"""),"10")</f>
        <v>10</v>
      </c>
      <c r="G459" s="8">
        <f ca="1">IFERROR(__xludf.DUMMYFUNCTION("""COMPUTED_VALUE"""),929)</f>
        <v>929</v>
      </c>
      <c r="H459" s="8" t="str">
        <f ca="1">IFERROR(__xludf.DUMMYFUNCTION("""COMPUTED_VALUE"""),"N/N")</f>
        <v>N/N</v>
      </c>
      <c r="I459" s="8" t="str">
        <f ca="1">IFERROR(__xludf.DUMMYFUNCTION("""COMPUTED_VALUE"""),"1x450+1x350")</f>
        <v>1x450+1x350</v>
      </c>
      <c r="J459" s="8" t="str">
        <f ca="1">IFERROR(__xludf.DUMMYFUNCTION("""COMPUTED_VALUE"""),"Baudouin")</f>
        <v>Baudouin</v>
      </c>
      <c r="K459" s="8" t="str">
        <f ca="1">IFERROR(__xludf.DUMMYFUNCTION("""COMPUTED_VALUE"""),"12 kn")</f>
        <v>12 kn</v>
      </c>
      <c r="L459" s="8" t="str">
        <f ca="1">IFERROR(__xludf.DUMMYFUNCTION("""COMPUTED_VALUE"""),"To be chkd")</f>
        <v>To be chkd</v>
      </c>
      <c r="M459" s="8" t="str">
        <f ca="1">IFERROR(__xludf.DUMMYFUNCTION("""COMPUTED_VALUE"""),"KST 3/25D")</f>
        <v>KST 3/25D</v>
      </c>
      <c r="N459" s="8" t="str">
        <f ca="1">IFERROR(__xludf.DUMMYFUNCTION("""COMPUTED_VALUE"""),"Korea")</f>
        <v>Korea</v>
      </c>
      <c r="O459" s="8" t="str">
        <f ca="1">IFERROR(__xludf.DUMMYFUNCTION("""COMPUTED_VALUE"""),"1.8 m")</f>
        <v>1.8 m</v>
      </c>
    </row>
    <row r="460" spans="1:15" ht="15.75" customHeight="1" x14ac:dyDescent="0.25">
      <c r="A460" s="8" t="str">
        <f ca="1">IFERROR(__xludf.DUMMYFUNCTION("""COMPUTED_VALUE"""),"TA 826/24")</f>
        <v>TA 826/24</v>
      </c>
      <c r="B460" s="8" t="str">
        <f ca="1">IFERROR(__xludf.DUMMYFUNCTION("""COMPUTED_VALUE"""),"DPP IMO 2 Bunkering Tanker")</f>
        <v>DPP IMO 2 Bunkering Tanker</v>
      </c>
      <c r="C460" s="9">
        <f ca="1">IFERROR(__xludf.DUMMYFUNCTION("""COMPUTED_VALUE"""),826)</f>
        <v>826</v>
      </c>
      <c r="D460" s="8" t="str">
        <f ca="1">IFERROR(__xludf.DUMMYFUNCTION("""COMPUTED_VALUE"""),"2024-Korea")</f>
        <v>2024-Korea</v>
      </c>
      <c r="E460" s="8" t="str">
        <f ca="1">IFERROR(__xludf.DUMMYFUNCTION("""COMPUTED_VALUE"""),"49.90 x 9.00")</f>
        <v>49.90 x 9.00</v>
      </c>
      <c r="F460" s="8" t="str">
        <f ca="1">IFERROR(__xludf.DUMMYFUNCTION("""COMPUTED_VALUE"""),"10")</f>
        <v>10</v>
      </c>
      <c r="G460" s="8">
        <f ca="1">IFERROR(__xludf.DUMMYFUNCTION("""COMPUTED_VALUE"""),744)</f>
        <v>744</v>
      </c>
      <c r="H460" s="8" t="str">
        <f ca="1">IFERROR(__xludf.DUMMYFUNCTION("""COMPUTED_VALUE"""),"?/?")</f>
        <v>?/?</v>
      </c>
      <c r="I460" s="8" t="str">
        <f ca="1">IFERROR(__xludf.DUMMYFUNCTION("""COMPUTED_VALUE"""),"3 x 300 ")</f>
        <v xml:space="preserve">3 x 300 </v>
      </c>
      <c r="J460" s="8" t="str">
        <f ca="1">IFERROR(__xludf.DUMMYFUNCTION("""COMPUTED_VALUE"""),"Yanmar")</f>
        <v>Yanmar</v>
      </c>
      <c r="K460" s="8" t="str">
        <f ca="1">IFERROR(__xludf.DUMMYFUNCTION("""COMPUTED_VALUE"""),"12 kn")</f>
        <v>12 kn</v>
      </c>
      <c r="L460" s="8" t="str">
        <f ca="1">IFERROR(__xludf.DUMMYFUNCTION("""COMPUTED_VALUE"""),"To be chkd")</f>
        <v>To be chkd</v>
      </c>
      <c r="M460" s="8" t="str">
        <f ca="1">IFERROR(__xludf.DUMMYFUNCTION("""COMPUTED_VALUE"""),"Komsa 3.29D")</f>
        <v>Komsa 3.29D</v>
      </c>
      <c r="N460" s="8" t="str">
        <f ca="1">IFERROR(__xludf.DUMMYFUNCTION("""COMPUTED_VALUE"""),"Korea")</f>
        <v>Korea</v>
      </c>
      <c r="O460" s="8" t="str">
        <f ca="1">IFERROR(__xludf.DUMMYFUNCTION("""COMPUTED_VALUE"""),"B.offers")</f>
        <v>B.offers</v>
      </c>
    </row>
    <row r="461" spans="1:15" ht="15.75" customHeight="1" x14ac:dyDescent="0.25">
      <c r="A461" s="8" t="str">
        <f ca="1">IFERROR(__xludf.DUMMYFUNCTION("""COMPUTED_VALUE"""),"TA 799/15")</f>
        <v>TA 799/15</v>
      </c>
      <c r="B461" s="8" t="str">
        <f ca="1">IFERROR(__xludf.DUMMYFUNCTION("""COMPUTED_VALUE"""),"CPP Products Tanker")</f>
        <v>CPP Products Tanker</v>
      </c>
      <c r="C461" s="9">
        <f ca="1">IFERROR(__xludf.DUMMYFUNCTION("""COMPUTED_VALUE"""),799)</f>
        <v>799</v>
      </c>
      <c r="D461" s="8" t="str">
        <f ca="1">IFERROR(__xludf.DUMMYFUNCTION("""COMPUTED_VALUE"""),"2015-China")</f>
        <v>2015-China</v>
      </c>
      <c r="E461" s="8" t="str">
        <f ca="1">IFERROR(__xludf.DUMMYFUNCTION("""COMPUTED_VALUE"""),"44.90 x 10.20")</f>
        <v>44.90 x 10.20</v>
      </c>
      <c r="F461" s="8" t="str">
        <f ca="1">IFERROR(__xludf.DUMMYFUNCTION("""COMPUTED_VALUE"""),"10")</f>
        <v>10</v>
      </c>
      <c r="G461" s="8">
        <f ca="1">IFERROR(__xludf.DUMMYFUNCTION("""COMPUTED_VALUE"""),805)</f>
        <v>805</v>
      </c>
      <c r="H461" s="8" t="str">
        <f ca="1">IFERROR(__xludf.DUMMYFUNCTION("""COMPUTED_VALUE"""),"N/Y Epoxy")</f>
        <v>N/Y Epoxy</v>
      </c>
      <c r="I461" s="8" t="str">
        <f ca="1">IFERROR(__xludf.DUMMYFUNCTION("""COMPUTED_VALUE"""),"2 x 300")</f>
        <v>2 x 300</v>
      </c>
      <c r="J461" s="8" t="str">
        <f ca="1">IFERROR(__xludf.DUMMYFUNCTION("""COMPUTED_VALUE"""),"2 Cummins")</f>
        <v>2 Cummins</v>
      </c>
      <c r="K461" s="8" t="str">
        <f ca="1">IFERROR(__xludf.DUMMYFUNCTION("""COMPUTED_VALUE"""),"-")</f>
        <v>-</v>
      </c>
      <c r="L461" s="8" t="str">
        <f ca="1">IFERROR(__xludf.DUMMYFUNCTION("""COMPUTED_VALUE"""),"To be chkd")</f>
        <v>To be chkd</v>
      </c>
      <c r="M461" s="8" t="str">
        <f ca="1">IFERROR(__xludf.DUMMYFUNCTION("""COMPUTED_VALUE"""),"Ri 1/30D")</f>
        <v>Ri 1/30D</v>
      </c>
      <c r="N461" s="8" t="str">
        <f ca="1">IFERROR(__xludf.DUMMYFUNCTION("""COMPUTED_VALUE"""),"Fareast")</f>
        <v>Fareast</v>
      </c>
      <c r="O461" s="8" t="str">
        <f ca="1">IFERROR(__xludf.DUMMYFUNCTION("""COMPUTED_VALUE"""),"B.offers")</f>
        <v>B.offers</v>
      </c>
    </row>
    <row r="462" spans="1:15" ht="15.75" customHeight="1" x14ac:dyDescent="0.25">
      <c r="A462" s="8" t="str">
        <f ca="1">IFERROR(__xludf.DUMMYFUNCTION("""COMPUTED_VALUE"""),"TA 781/11")</f>
        <v>TA 781/11</v>
      </c>
      <c r="B462" s="8" t="str">
        <f ca="1">IFERROR(__xludf.DUMMYFUNCTION("""COMPUTED_VALUE"""),"DPP Bunkering Tanker")</f>
        <v>DPP Bunkering Tanker</v>
      </c>
      <c r="C462" s="9">
        <f ca="1">IFERROR(__xludf.DUMMYFUNCTION("""COMPUTED_VALUE"""),781)</f>
        <v>781</v>
      </c>
      <c r="D462" s="8" t="str">
        <f ca="1">IFERROR(__xludf.DUMMYFUNCTION("""COMPUTED_VALUE"""),"2011-Korea")</f>
        <v>2011-Korea</v>
      </c>
      <c r="E462" s="8" t="str">
        <f ca="1">IFERROR(__xludf.DUMMYFUNCTION("""COMPUTED_VALUE"""),"49.90 x 8.70")</f>
        <v>49.90 x 8.70</v>
      </c>
      <c r="F462" s="8" t="str">
        <f ca="1">IFERROR(__xludf.DUMMYFUNCTION("""COMPUTED_VALUE"""),"10")</f>
        <v>10</v>
      </c>
      <c r="G462" s="8">
        <f ca="1">IFERROR(__xludf.DUMMYFUNCTION("""COMPUTED_VALUE"""),707)</f>
        <v>707</v>
      </c>
      <c r="H462" s="8" t="str">
        <f ca="1">IFERROR(__xludf.DUMMYFUNCTION("""COMPUTED_VALUE"""),"N/Y Epoxy")</f>
        <v>N/Y Epoxy</v>
      </c>
      <c r="I462" s="8" t="str">
        <f ca="1">IFERROR(__xludf.DUMMYFUNCTION("""COMPUTED_VALUE"""),"1 x 300+1 x 150")</f>
        <v>1 x 300+1 x 150</v>
      </c>
      <c r="J462" s="8" t="str">
        <f ca="1">IFERROR(__xludf.DUMMYFUNCTION("""COMPUTED_VALUE"""),"Mitsubishi")</f>
        <v>Mitsubishi</v>
      </c>
      <c r="K462" s="8" t="str">
        <f ca="1">IFERROR(__xludf.DUMMYFUNCTION("""COMPUTED_VALUE"""),"-")</f>
        <v>-</v>
      </c>
      <c r="L462" s="8" t="str">
        <f ca="1">IFERROR(__xludf.DUMMYFUNCTION("""COMPUTED_VALUE"""),"To be chkd")</f>
        <v>To be chkd</v>
      </c>
      <c r="M462" s="8" t="str">
        <f ca="1">IFERROR(__xludf.DUMMYFUNCTION("""COMPUTED_VALUE"""),"Komsa 5.26D")</f>
        <v>Komsa 5.26D</v>
      </c>
      <c r="N462" s="8" t="str">
        <f ca="1">IFERROR(__xludf.DUMMYFUNCTION("""COMPUTED_VALUE"""),"Fareast")</f>
        <v>Fareast</v>
      </c>
      <c r="O462" s="8" t="str">
        <f ca="1">IFERROR(__xludf.DUMMYFUNCTION("""COMPUTED_VALUE"""),"B.offers")</f>
        <v>B.offers</v>
      </c>
    </row>
    <row r="463" spans="1:15" ht="15.75" customHeight="1" x14ac:dyDescent="0.25">
      <c r="A463" s="8" t="str">
        <f ca="1">IFERROR(__xludf.DUMMYFUNCTION("""COMPUTED_VALUE"""),"TA 750/22")</f>
        <v>TA 750/22</v>
      </c>
      <c r="B463" s="8" t="str">
        <f ca="1">IFERROR(__xludf.DUMMYFUNCTION("""COMPUTED_VALUE"""),"Products/Bunkering")</f>
        <v>Products/Bunkering</v>
      </c>
      <c r="C463" s="9">
        <f ca="1">IFERROR(__xludf.DUMMYFUNCTION("""COMPUTED_VALUE"""),750)</f>
        <v>750</v>
      </c>
      <c r="D463" s="8" t="str">
        <f ca="1">IFERROR(__xludf.DUMMYFUNCTION("""COMPUTED_VALUE"""),"2022-Turkey")</f>
        <v>2022-Turkey</v>
      </c>
      <c r="E463" s="8" t="str">
        <f ca="1">IFERROR(__xludf.DUMMYFUNCTION("""COMPUTED_VALUE"""),"48.25 x 9.50")</f>
        <v>48.25 x 9.50</v>
      </c>
      <c r="F463" s="8" t="str">
        <f ca="1">IFERROR(__xludf.DUMMYFUNCTION("""COMPUTED_VALUE"""),"10")</f>
        <v>10</v>
      </c>
      <c r="G463" s="8">
        <f ca="1">IFERROR(__xludf.DUMMYFUNCTION("""COMPUTED_VALUE"""),761)</f>
        <v>761</v>
      </c>
      <c r="H463" s="8" t="str">
        <f ca="1">IFERROR(__xludf.DUMMYFUNCTION("""COMPUTED_VALUE"""),"Y stst/Y Epoxy")</f>
        <v>Y stst/Y Epoxy</v>
      </c>
      <c r="I463" s="8" t="str">
        <f ca="1">IFERROR(__xludf.DUMMYFUNCTION("""COMPUTED_VALUE"""),"2x250+1x150")</f>
        <v>2x250+1x150</v>
      </c>
      <c r="J463" s="8" t="str">
        <f ca="1">IFERROR(__xludf.DUMMYFUNCTION("""COMPUTED_VALUE"""),"Baudouin")</f>
        <v>Baudouin</v>
      </c>
      <c r="K463" s="8" t="str">
        <f ca="1">IFERROR(__xludf.DUMMYFUNCTION("""COMPUTED_VALUE"""),"-")</f>
        <v>-</v>
      </c>
      <c r="L463" s="8" t="str">
        <f ca="1">IFERROR(__xludf.DUMMYFUNCTION("""COMPUTED_VALUE"""),"No")</f>
        <v>No</v>
      </c>
      <c r="M463" s="8" t="str">
        <f ca="1">IFERROR(__xludf.DUMMYFUNCTION("""COMPUTED_VALUE"""),"BV 3/27D")</f>
        <v>BV 3/27D</v>
      </c>
      <c r="N463" s="8" t="str">
        <f ca="1">IFERROR(__xludf.DUMMYFUNCTION("""COMPUTED_VALUE"""),"Marmara")</f>
        <v>Marmara</v>
      </c>
      <c r="O463" s="8" t="str">
        <f ca="1">IFERROR(__xludf.DUMMYFUNCTION("""COMPUTED_VALUE"""),"EUR 6.5 m")</f>
        <v>EUR 6.5 m</v>
      </c>
    </row>
    <row r="464" spans="1:15" ht="15.75" customHeight="1" x14ac:dyDescent="0.25">
      <c r="A464" s="8" t="str">
        <f ca="1">IFERROR(__xludf.DUMMYFUNCTION("""COMPUTED_VALUE"""),"TA 699/93")</f>
        <v>TA 699/93</v>
      </c>
      <c r="B464" s="8" t="str">
        <f ca="1">IFERROR(__xludf.DUMMYFUNCTION("""COMPUTED_VALUE"""),"Dirty Oil Tanker")</f>
        <v>Dirty Oil Tanker</v>
      </c>
      <c r="C464" s="9">
        <f ca="1">IFERROR(__xludf.DUMMYFUNCTION("""COMPUTED_VALUE"""),699)</f>
        <v>699</v>
      </c>
      <c r="D464" s="8" t="str">
        <f ca="1">IFERROR(__xludf.DUMMYFUNCTION("""COMPUTED_VALUE"""),"1993-Japan")</f>
        <v>1993-Japan</v>
      </c>
      <c r="E464" s="8" t="str">
        <f ca="1">IFERROR(__xludf.DUMMYFUNCTION("""COMPUTED_VALUE"""),"49.99 x 9.00")</f>
        <v>49.99 x 9.00</v>
      </c>
      <c r="F464" s="8" t="str">
        <f ca="1">IFERROR(__xludf.DUMMYFUNCTION("""COMPUTED_VALUE"""),"-")</f>
        <v>-</v>
      </c>
      <c r="G464" s="8">
        <f ca="1">IFERROR(__xludf.DUMMYFUNCTION("""COMPUTED_VALUE"""),668)</f>
        <v>668</v>
      </c>
      <c r="H464" s="8" t="str">
        <f ca="1">IFERROR(__xludf.DUMMYFUNCTION("""COMPUTED_VALUE"""),"Y/N")</f>
        <v>Y/N</v>
      </c>
      <c r="I464" s="8" t="str">
        <f ca="1">IFERROR(__xludf.DUMMYFUNCTION("""COMPUTED_VALUE"""),"3 x 3500")</f>
        <v>3 x 3500</v>
      </c>
      <c r="J464" s="8" t="str">
        <f ca="1">IFERROR(__xludf.DUMMYFUNCTION("""COMPUTED_VALUE"""),"Hanshin")</f>
        <v>Hanshin</v>
      </c>
      <c r="K464" s="8" t="str">
        <f ca="1">IFERROR(__xludf.DUMMYFUNCTION("""COMPUTED_VALUE"""),"10 kn")</f>
        <v>10 kn</v>
      </c>
      <c r="L464" s="8" t="str">
        <f ca="1">IFERROR(__xludf.DUMMYFUNCTION("""COMPUTED_VALUE"""),"To be chkd")</f>
        <v>To be chkd</v>
      </c>
      <c r="M464" s="8" t="str">
        <f ca="1">IFERROR(__xludf.DUMMYFUNCTION("""COMPUTED_VALUE"""),"JP Coastal")</f>
        <v>JP Coastal</v>
      </c>
      <c r="N464" s="8" t="str">
        <f ca="1">IFERROR(__xludf.DUMMYFUNCTION("""COMPUTED_VALUE"""),"Japan")</f>
        <v>Japan</v>
      </c>
      <c r="O464" s="8" t="str">
        <f ca="1">IFERROR(__xludf.DUMMYFUNCTION("""COMPUTED_VALUE"""),"B.offers")</f>
        <v>B.offers</v>
      </c>
    </row>
    <row r="465" spans="1:26" ht="15.75" customHeight="1" x14ac:dyDescent="0.25">
      <c r="A465" s="8" t="str">
        <f ca="1">IFERROR(__xludf.DUMMYFUNCTION("""COMPUTED_VALUE"""),"TA 673/94")</f>
        <v>TA 673/94</v>
      </c>
      <c r="B465" s="8" t="str">
        <f ca="1">IFERROR(__xludf.DUMMYFUNCTION("""COMPUTED_VALUE"""),"Ammonia Tanker")</f>
        <v>Ammonia Tanker</v>
      </c>
      <c r="C465" s="9">
        <f ca="1">IFERROR(__xludf.DUMMYFUNCTION("""COMPUTED_VALUE"""),673)</f>
        <v>673</v>
      </c>
      <c r="D465" s="8" t="str">
        <f ca="1">IFERROR(__xludf.DUMMYFUNCTION("""COMPUTED_VALUE"""),"1994-Japan")</f>
        <v>1994-Japan</v>
      </c>
      <c r="E465" s="8" t="str">
        <f ca="1">IFERROR(__xludf.DUMMYFUNCTION("""COMPUTED_VALUE"""),"63.77 x 9.80")</f>
        <v>63.77 x 9.80</v>
      </c>
      <c r="F465" s="8" t="str">
        <f ca="1">IFERROR(__xludf.DUMMYFUNCTION("""COMPUTED_VALUE"""),"1")</f>
        <v>1</v>
      </c>
      <c r="G465" s="8">
        <f ca="1">IFERROR(__xludf.DUMMYFUNCTION("""COMPUTED_VALUE"""),660)</f>
        <v>660</v>
      </c>
      <c r="H465" s="8" t="str">
        <f ca="1">IFERROR(__xludf.DUMMYFUNCTION("""COMPUTED_VALUE"""),"-")</f>
        <v>-</v>
      </c>
      <c r="I465" s="8" t="str">
        <f ca="1">IFERROR(__xludf.DUMMYFUNCTION("""COMPUTED_VALUE"""),"-")</f>
        <v>-</v>
      </c>
      <c r="J465" s="8" t="str">
        <f ca="1">IFERROR(__xludf.DUMMYFUNCTION("""COMPUTED_VALUE"""),"Niigata")</f>
        <v>Niigata</v>
      </c>
      <c r="K465" s="8"/>
      <c r="L465" s="8" t="str">
        <f ca="1">IFERROR(__xludf.DUMMYFUNCTION("""COMPUTED_VALUE"""),"To be chkd")</f>
        <v>To be chkd</v>
      </c>
      <c r="M465" s="8" t="str">
        <f ca="1">IFERROR(__xludf.DUMMYFUNCTION("""COMPUTED_VALUE"""),"JP Coastal")</f>
        <v>JP Coastal</v>
      </c>
      <c r="N465" s="8" t="str">
        <f ca="1">IFERROR(__xludf.DUMMYFUNCTION("""COMPUTED_VALUE"""),"Japan")</f>
        <v>Japan</v>
      </c>
      <c r="O465" s="8" t="str">
        <f ca="1">IFERROR(__xludf.DUMMYFUNCTION("""COMPUTED_VALUE"""),"B.offers")</f>
        <v>B.offers</v>
      </c>
    </row>
    <row r="466" spans="1:26" ht="15.75" customHeight="1" x14ac:dyDescent="0.25">
      <c r="A466" s="8" t="str">
        <f ca="1">IFERROR(__xludf.DUMMYFUNCTION("""COMPUTED_VALUE"""),"TA 626/99")</f>
        <v>TA 626/99</v>
      </c>
      <c r="B466" s="8" t="str">
        <f ca="1">IFERROR(__xludf.DUMMYFUNCTION("""COMPUTED_VALUE"""),"CPP IMO II Coastal Tanker")</f>
        <v>CPP IMO II Coastal Tanker</v>
      </c>
      <c r="C466" s="9">
        <f ca="1">IFERROR(__xludf.DUMMYFUNCTION("""COMPUTED_VALUE"""),626)</f>
        <v>626</v>
      </c>
      <c r="D466" s="8" t="str">
        <f ca="1">IFERROR(__xludf.DUMMYFUNCTION("""COMPUTED_VALUE"""),"1999-Japan")</f>
        <v>1999-Japan</v>
      </c>
      <c r="E466" s="8" t="str">
        <f ca="1">IFERROR(__xludf.DUMMYFUNCTION("""COMPUTED_VALUE"""),"54.22 x 7.60")</f>
        <v>54.22 x 7.60</v>
      </c>
      <c r="F466" s="8" t="str">
        <f ca="1">IFERROR(__xludf.DUMMYFUNCTION("""COMPUTED_VALUE"""),"8")</f>
        <v>8</v>
      </c>
      <c r="G466" s="8">
        <f ca="1">IFERROR(__xludf.DUMMYFUNCTION("""COMPUTED_VALUE"""),754)</f>
        <v>754</v>
      </c>
      <c r="H466" s="8" t="str">
        <f ca="1">IFERROR(__xludf.DUMMYFUNCTION("""COMPUTED_VALUE"""),"N/N")</f>
        <v>N/N</v>
      </c>
      <c r="I466" s="8" t="str">
        <f ca="1">IFERROR(__xludf.DUMMYFUNCTION("""COMPUTED_VALUE"""),"2 x 500")</f>
        <v>2 x 500</v>
      </c>
      <c r="J466" s="8" t="str">
        <f ca="1">IFERROR(__xludf.DUMMYFUNCTION("""COMPUTED_VALUE"""),"Mitsubishi")</f>
        <v>Mitsubishi</v>
      </c>
      <c r="K466" s="8" t="str">
        <f ca="1">IFERROR(__xludf.DUMMYFUNCTION("""COMPUTED_VALUE"""),"10.75 k")</f>
        <v>10.75 k</v>
      </c>
      <c r="L466" s="8" t="str">
        <f ca="1">IFERROR(__xludf.DUMMYFUNCTION("""COMPUTED_VALUE"""),"To be chkd")</f>
        <v>To be chkd</v>
      </c>
      <c r="M466" s="8" t="str">
        <f ca="1">IFERROR(__xludf.DUMMYFUNCTION("""COMPUTED_VALUE"""),"KOMSA class")</f>
        <v>KOMSA class</v>
      </c>
      <c r="N466" s="8" t="str">
        <f ca="1">IFERROR(__xludf.DUMMYFUNCTION("""COMPUTED_VALUE"""),"Fareast")</f>
        <v>Fareast</v>
      </c>
      <c r="O466" s="8" t="str">
        <f ca="1">IFERROR(__xludf.DUMMYFUNCTION("""COMPUTED_VALUE"""),"B.offers")</f>
        <v>B.offers</v>
      </c>
    </row>
    <row r="467" spans="1:26" ht="15.75" customHeight="1" x14ac:dyDescent="0.25">
      <c r="A467" s="8" t="str">
        <f ca="1">IFERROR(__xludf.DUMMYFUNCTION("""COMPUTED_VALUE"""),"TA 610/05")</f>
        <v>TA 610/05</v>
      </c>
      <c r="B467" s="8" t="str">
        <f ca="1">IFERROR(__xludf.DUMMYFUNCTION("""COMPUTED_VALUE"""),"CPP/IMO II Coastal")</f>
        <v>CPP/IMO II Coastal</v>
      </c>
      <c r="C467" s="9">
        <f ca="1">IFERROR(__xludf.DUMMYFUNCTION("""COMPUTED_VALUE"""),610)</f>
        <v>610</v>
      </c>
      <c r="D467" s="8" t="str">
        <f ca="1">IFERROR(__xludf.DUMMYFUNCTION("""COMPUTED_VALUE"""),"2005-Japan")</f>
        <v>2005-Japan</v>
      </c>
      <c r="E467" s="8" t="str">
        <f ca="1">IFERROR(__xludf.DUMMYFUNCTION("""COMPUTED_VALUE"""),"48.58 x 9.20")</f>
        <v>48.58 x 9.20</v>
      </c>
      <c r="F467" s="8" t="str">
        <f ca="1">IFERROR(__xludf.DUMMYFUNCTION("""COMPUTED_VALUE"""),"6")</f>
        <v>6</v>
      </c>
      <c r="G467" s="8">
        <f ca="1">IFERROR(__xludf.DUMMYFUNCTION("""COMPUTED_VALUE"""),610)</f>
        <v>610</v>
      </c>
      <c r="H467" s="8" t="str">
        <f ca="1">IFERROR(__xludf.DUMMYFUNCTION("""COMPUTED_VALUE"""),"?/?")</f>
        <v>?/?</v>
      </c>
      <c r="I467" s="8" t="str">
        <f ca="1">IFERROR(__xludf.DUMMYFUNCTION("""COMPUTED_VALUE"""),"1 x 250 Screwpp")</f>
        <v>1 x 250 Screwpp</v>
      </c>
      <c r="J467" s="8" t="str">
        <f ca="1">IFERROR(__xludf.DUMMYFUNCTION("""COMPUTED_VALUE"""),"Yanmar")</f>
        <v>Yanmar</v>
      </c>
      <c r="K467" s="8" t="str">
        <f ca="1">IFERROR(__xludf.DUMMYFUNCTION("""COMPUTED_VALUE"""),"10 kn")</f>
        <v>10 kn</v>
      </c>
      <c r="L467" s="8" t="str">
        <f ca="1">IFERROR(__xludf.DUMMYFUNCTION("""COMPUTED_VALUE"""),"To be chkd")</f>
        <v>To be chkd</v>
      </c>
      <c r="M467" s="8" t="str">
        <f ca="1">IFERROR(__xludf.DUMMYFUNCTION("""COMPUTED_VALUE"""),"Komsa 12.27")</f>
        <v>Komsa 12.27</v>
      </c>
      <c r="N467" s="8" t="str">
        <f ca="1">IFERROR(__xludf.DUMMYFUNCTION("""COMPUTED_VALUE"""),"Korea")</f>
        <v>Korea</v>
      </c>
      <c r="O467" s="8" t="str">
        <f ca="1">IFERROR(__xludf.DUMMYFUNCTION("""COMPUTED_VALUE"""),"1.35 m")</f>
        <v>1.35 m</v>
      </c>
    </row>
    <row r="468" spans="1:26" ht="15.75" customHeight="1" x14ac:dyDescent="0.25">
      <c r="A468" s="8" t="str">
        <f ca="1">IFERROR(__xludf.DUMMYFUNCTION("""COMPUTED_VALUE"""),"TA 580/95")</f>
        <v>TA 580/95</v>
      </c>
      <c r="B468" s="8" t="str">
        <f ca="1">IFERROR(__xludf.DUMMYFUNCTION("""COMPUTED_VALUE"""),"Oil/Products Tanker")</f>
        <v>Oil/Products Tanker</v>
      </c>
      <c r="C468" s="9">
        <f ca="1">IFERROR(__xludf.DUMMYFUNCTION("""COMPUTED_VALUE"""),580)</f>
        <v>580</v>
      </c>
      <c r="D468" s="8" t="str">
        <f ca="1">IFERROR(__xludf.DUMMYFUNCTION("""COMPUTED_VALUE"""),"1995-Japan")</f>
        <v>1995-Japan</v>
      </c>
      <c r="E468" s="8" t="str">
        <f ca="1">IFERROR(__xludf.DUMMYFUNCTION("""COMPUTED_VALUE"""),"44.13 x 8.00")</f>
        <v>44.13 x 8.00</v>
      </c>
      <c r="F468" s="8" t="str">
        <f ca="1">IFERROR(__xludf.DUMMYFUNCTION("""COMPUTED_VALUE"""),"6")</f>
        <v>6</v>
      </c>
      <c r="G468" s="8">
        <f ca="1">IFERROR(__xludf.DUMMYFUNCTION("""COMPUTED_VALUE"""),580)</f>
        <v>580</v>
      </c>
      <c r="H468" s="8" t="str">
        <f ca="1">IFERROR(__xludf.DUMMYFUNCTION("""COMPUTED_VALUE"""),"Y/N")</f>
        <v>Y/N</v>
      </c>
      <c r="I468" s="8" t="str">
        <f ca="1">IFERROR(__xludf.DUMMYFUNCTION("""COMPUTED_VALUE"""),"1 X 350 ME dr")</f>
        <v>1 X 350 ME dr</v>
      </c>
      <c r="J468" s="8" t="str">
        <f ca="1">IFERROR(__xludf.DUMMYFUNCTION("""COMPUTED_VALUE"""),"Hanshin")</f>
        <v>Hanshin</v>
      </c>
      <c r="K468" s="8"/>
      <c r="L468" s="8" t="str">
        <f ca="1">IFERROR(__xludf.DUMMYFUNCTION("""COMPUTED_VALUE"""),"To be chkd")</f>
        <v>To be chkd</v>
      </c>
      <c r="M468" s="8" t="str">
        <f ca="1">IFERROR(__xludf.DUMMYFUNCTION("""COMPUTED_VALUE"""),"Komsa 2.28D")</f>
        <v>Komsa 2.28D</v>
      </c>
      <c r="N468" s="8" t="str">
        <f ca="1">IFERROR(__xludf.DUMMYFUNCTION("""COMPUTED_VALUE"""),"Korea")</f>
        <v>Korea</v>
      </c>
      <c r="O468" s="8" t="str">
        <f ca="1">IFERROR(__xludf.DUMMYFUNCTION("""COMPUTED_VALUE"""),"B.offers")</f>
        <v>B.offers</v>
      </c>
    </row>
    <row r="469" spans="1:26" ht="15.75" customHeight="1" x14ac:dyDescent="0.25">
      <c r="A469" s="8" t="str">
        <f ca="1">IFERROR(__xludf.DUMMYFUNCTION("""COMPUTED_VALUE"""),"TA 549/92")</f>
        <v>TA 549/92</v>
      </c>
      <c r="B469" s="8" t="str">
        <f ca="1">IFERROR(__xludf.DUMMYFUNCTION("""COMPUTED_VALUE"""),"Oil/Products Tanker")</f>
        <v>Oil/Products Tanker</v>
      </c>
      <c r="C469" s="9">
        <f ca="1">IFERROR(__xludf.DUMMYFUNCTION("""COMPUTED_VALUE"""),549)</f>
        <v>549</v>
      </c>
      <c r="D469" s="8" t="str">
        <f ca="1">IFERROR(__xludf.DUMMYFUNCTION("""COMPUTED_VALUE"""),"1992-Japan")</f>
        <v>1992-Japan</v>
      </c>
      <c r="E469" s="8" t="str">
        <f ca="1">IFERROR(__xludf.DUMMYFUNCTION("""COMPUTED_VALUE"""),"47.94 x 8.00")</f>
        <v>47.94 x 8.00</v>
      </c>
      <c r="F469" s="8" t="str">
        <f ca="1">IFERROR(__xludf.DUMMYFUNCTION("""COMPUTED_VALUE"""),"6")</f>
        <v>6</v>
      </c>
      <c r="G469" s="8">
        <f ca="1">IFERROR(__xludf.DUMMYFUNCTION("""COMPUTED_VALUE"""),549)</f>
        <v>549</v>
      </c>
      <c r="H469" s="8" t="str">
        <f ca="1">IFERROR(__xludf.DUMMYFUNCTION("""COMPUTED_VALUE"""),"?/?")</f>
        <v>?/?</v>
      </c>
      <c r="I469" s="8">
        <f ca="1">IFERROR(__xludf.DUMMYFUNCTION("""COMPUTED_VALUE"""),2)</f>
        <v>2</v>
      </c>
      <c r="J469" s="8" t="str">
        <f ca="1">IFERROR(__xludf.DUMMYFUNCTION("""COMPUTED_VALUE"""),"Sumiyoshi")</f>
        <v>Sumiyoshi</v>
      </c>
      <c r="K469" s="8" t="str">
        <f ca="1">IFERROR(__xludf.DUMMYFUNCTION("""COMPUTED_VALUE"""),"9.5 kn")</f>
        <v>9.5 kn</v>
      </c>
      <c r="L469" s="8" t="str">
        <f ca="1">IFERROR(__xludf.DUMMYFUNCTION("""COMPUTED_VALUE"""),"To be chkd")</f>
        <v>To be chkd</v>
      </c>
      <c r="M469" s="8" t="str">
        <f ca="1">IFERROR(__xludf.DUMMYFUNCTION("""COMPUTED_VALUE"""),"Komsa Coast")</f>
        <v>Komsa Coast</v>
      </c>
      <c r="N469" s="8" t="str">
        <f ca="1">IFERROR(__xludf.DUMMYFUNCTION("""COMPUTED_VALUE"""),"Korea")</f>
        <v>Korea</v>
      </c>
      <c r="O469" s="8" t="str">
        <f ca="1">IFERROR(__xludf.DUMMYFUNCTION("""COMPUTED_VALUE"""),"B.offers")</f>
        <v>B.offers</v>
      </c>
    </row>
    <row r="470" spans="1:26" ht="15.75" customHeight="1" x14ac:dyDescent="0.25">
      <c r="A470" s="8" t="str">
        <f ca="1">IFERROR(__xludf.DUMMYFUNCTION("""COMPUTED_VALUE"""),"TA 333/71")</f>
        <v>TA 333/71</v>
      </c>
      <c r="B470" s="8" t="str">
        <f ca="1">IFERROR(__xludf.DUMMYFUNCTION("""COMPUTED_VALUE"""),"Self-propelled Tk Barge")</f>
        <v>Self-propelled Tk Barge</v>
      </c>
      <c r="C470" s="9">
        <f ca="1">IFERROR(__xludf.DUMMYFUNCTION("""COMPUTED_VALUE"""),333)</f>
        <v>333</v>
      </c>
      <c r="D470" s="8" t="str">
        <f ca="1">IFERROR(__xludf.DUMMYFUNCTION("""COMPUTED_VALUE"""),"1971-Turkey")</f>
        <v>1971-Turkey</v>
      </c>
      <c r="E470" s="8" t="str">
        <f ca="1">IFERROR(__xludf.DUMMYFUNCTION("""COMPUTED_VALUE"""),"41.76 x 6.90")</f>
        <v>41.76 x 6.90</v>
      </c>
      <c r="F470" s="8" t="str">
        <f ca="1">IFERROR(__xludf.DUMMYFUNCTION("""COMPUTED_VALUE"""),"-")</f>
        <v>-</v>
      </c>
      <c r="G470" s="8" t="str">
        <f ca="1">IFERROR(__xludf.DUMMYFUNCTION("""COMPUTED_VALUE"""),"-")</f>
        <v>-</v>
      </c>
      <c r="H470" s="8" t="str">
        <f ca="1">IFERROR(__xludf.DUMMYFUNCTION("""COMPUTED_VALUE"""),"N/N")</f>
        <v>N/N</v>
      </c>
      <c r="I470" s="8" t="str">
        <f ca="1">IFERROR(__xludf.DUMMYFUNCTION("""COMPUTED_VALUE"""),"-")</f>
        <v>-</v>
      </c>
      <c r="J470" s="8" t="str">
        <f ca="1">IFERROR(__xludf.DUMMYFUNCTION("""COMPUTED_VALUE"""),"Caterpillar")</f>
        <v>Caterpillar</v>
      </c>
      <c r="K470" s="8" t="str">
        <f ca="1">IFERROR(__xludf.DUMMYFUNCTION("""COMPUTED_VALUE"""),"-")</f>
        <v>-</v>
      </c>
      <c r="L470" s="8" t="str">
        <f ca="1">IFERROR(__xludf.DUMMYFUNCTION("""COMPUTED_VALUE"""),"To be chkd")</f>
        <v>To be chkd</v>
      </c>
      <c r="M470" s="8" t="str">
        <f ca="1">IFERROR(__xludf.DUMMYFUNCTION("""COMPUTED_VALUE"""),"To be chkd")</f>
        <v>To be chkd</v>
      </c>
      <c r="N470" s="8" t="str">
        <f ca="1">IFERROR(__xludf.DUMMYFUNCTION("""COMPUTED_VALUE"""),"Turkey  ")</f>
        <v xml:space="preserve">Turkey  </v>
      </c>
      <c r="O470" s="8" t="str">
        <f ca="1">IFERROR(__xludf.DUMMYFUNCTION("""COMPUTED_VALUE"""),"B.offers")</f>
        <v>B.offers</v>
      </c>
    </row>
    <row r="471" spans="1:26" ht="15.75" customHeight="1" x14ac:dyDescent="0.25">
      <c r="A471" s="8" t="str">
        <f ca="1">IFERROR(__xludf.DUMMYFUNCTION("""COMPUTED_VALUE"""),"TA 105/14")</f>
        <v>TA 105/14</v>
      </c>
      <c r="B471" s="8" t="str">
        <f ca="1">IFERROR(__xludf.DUMMYFUNCTION("""COMPUTED_VALUE"""),"Bunkering Tanker")</f>
        <v>Bunkering Tanker</v>
      </c>
      <c r="C471" s="9">
        <f ca="1">IFERROR(__xludf.DUMMYFUNCTION("""COMPUTED_VALUE"""),105)</f>
        <v>105</v>
      </c>
      <c r="D471" s="8" t="str">
        <f ca="1">IFERROR(__xludf.DUMMYFUNCTION("""COMPUTED_VALUE"""),"2014-Singap")</f>
        <v>2014-Singap</v>
      </c>
      <c r="E471" s="8" t="str">
        <f ca="1">IFERROR(__xludf.DUMMYFUNCTION("""COMPUTED_VALUE"""),"26.00 x 5.80")</f>
        <v>26.00 x 5.80</v>
      </c>
      <c r="F471" s="8" t="str">
        <f ca="1">IFERROR(__xludf.DUMMYFUNCTION("""COMPUTED_VALUE"""),"4")</f>
        <v>4</v>
      </c>
      <c r="G471" s="8">
        <f ca="1">IFERROR(__xludf.DUMMYFUNCTION("""COMPUTED_VALUE"""),130)</f>
        <v>130</v>
      </c>
      <c r="H471" s="8" t="str">
        <f ca="1">IFERROR(__xludf.DUMMYFUNCTION("""COMPUTED_VALUE"""),"N/N")</f>
        <v>N/N</v>
      </c>
      <c r="I471" s="8" t="str">
        <f ca="1">IFERROR(__xludf.DUMMYFUNCTION("""COMPUTED_VALUE"""),"1 x 920L+2x300L")</f>
        <v>1 x 920L+2x300L</v>
      </c>
      <c r="J471" s="8" t="str">
        <f ca="1">IFERROR(__xludf.DUMMYFUNCTION("""COMPUTED_VALUE"""),"Weichai")</f>
        <v>Weichai</v>
      </c>
      <c r="K471" s="8" t="str">
        <f ca="1">IFERROR(__xludf.DUMMYFUNCTION("""COMPUTED_VALUE"""),"-")</f>
        <v>-</v>
      </c>
      <c r="L471" s="8" t="str">
        <f ca="1">IFERROR(__xludf.DUMMYFUNCTION("""COMPUTED_VALUE"""),"To be chkd")</f>
        <v>To be chkd</v>
      </c>
      <c r="M471" s="8" t="str">
        <f ca="1">IFERROR(__xludf.DUMMYFUNCTION("""COMPUTED_VALUE"""),"BV 7/29D")</f>
        <v>BV 7/29D</v>
      </c>
      <c r="N471" s="8" t="str">
        <f ca="1">IFERROR(__xludf.DUMMYFUNCTION("""COMPUTED_VALUE"""),"Singapore")</f>
        <v>Singapore</v>
      </c>
      <c r="O471" s="8" t="str">
        <f ca="1">IFERROR(__xludf.DUMMYFUNCTION("""COMPUTED_VALUE"""),"B.offers")</f>
        <v>B.offers</v>
      </c>
    </row>
    <row r="472" spans="1:26" ht="15.75" customHeight="1" x14ac:dyDescent="0.25">
      <c r="A472" s="8" t="str">
        <f ca="1">IFERROR(__xludf.DUMMYFUNCTION("""COMPUTED_VALUE"""),"-")</f>
        <v>-</v>
      </c>
      <c r="B472" s="8" t="str">
        <f ca="1">IFERROR(__xludf.DUMMYFUNCTION("""COMPUTED_VALUE"""),"-")</f>
        <v>-</v>
      </c>
      <c r="C472" s="9" t="str">
        <f ca="1">IFERROR(__xludf.DUMMYFUNCTION("""COMPUTED_VALUE"""),"-")</f>
        <v>-</v>
      </c>
      <c r="D472" s="8" t="str">
        <f ca="1">IFERROR(__xludf.DUMMYFUNCTION("""COMPUTED_VALUE"""),"-")</f>
        <v>-</v>
      </c>
      <c r="E472" s="8" t="str">
        <f ca="1">IFERROR(__xludf.DUMMYFUNCTION("""COMPUTED_VALUE"""),"-")</f>
        <v>-</v>
      </c>
      <c r="F472" s="8" t="str">
        <f ca="1">IFERROR(__xludf.DUMMYFUNCTION("""COMPUTED_VALUE"""),"-")</f>
        <v>-</v>
      </c>
      <c r="G472" s="8" t="str">
        <f ca="1">IFERROR(__xludf.DUMMYFUNCTION("""COMPUTED_VALUE"""),"-")</f>
        <v>-</v>
      </c>
      <c r="H472" s="8" t="str">
        <f ca="1">IFERROR(__xludf.DUMMYFUNCTION("""COMPUTED_VALUE"""),"-")</f>
        <v>-</v>
      </c>
      <c r="I472" s="8" t="str">
        <f ca="1">IFERROR(__xludf.DUMMYFUNCTION("""COMPUTED_VALUE"""),"-")</f>
        <v>-</v>
      </c>
      <c r="J472" s="8" t="str">
        <f ca="1">IFERROR(__xludf.DUMMYFUNCTION("""COMPUTED_VALUE"""),"-")</f>
        <v>-</v>
      </c>
      <c r="K472" s="8" t="str">
        <f ca="1">IFERROR(__xludf.DUMMYFUNCTION("""COMPUTED_VALUE"""),"-")</f>
        <v>-</v>
      </c>
      <c r="L472" s="8" t="str">
        <f ca="1">IFERROR(__xludf.DUMMYFUNCTION("""COMPUTED_VALUE"""),"-")</f>
        <v>-</v>
      </c>
      <c r="M472" s="8" t="str">
        <f ca="1">IFERROR(__xludf.DUMMYFUNCTION("""COMPUTED_VALUE"""),"-")</f>
        <v>-</v>
      </c>
      <c r="N472" s="8" t="str">
        <f ca="1">IFERROR(__xludf.DUMMYFUNCTION("""COMPUTED_VALUE"""),"-")</f>
        <v>-</v>
      </c>
      <c r="O472" s="8" t="str">
        <f ca="1">IFERROR(__xludf.DUMMYFUNCTION("""COMPUTED_VALUE"""),"-")</f>
        <v>-</v>
      </c>
    </row>
    <row r="473" spans="1:26" ht="15.75" customHeight="1" x14ac:dyDescent="0.25">
      <c r="A473" s="8" t="str">
        <f ca="1">IFERROR(__xludf.DUMMYFUNCTION("""COMPUTED_VALUE"""),"-")</f>
        <v>-</v>
      </c>
      <c r="B473" s="8" t="str">
        <f ca="1">IFERROR(__xludf.DUMMYFUNCTION("""COMPUTED_VALUE"""),"-")</f>
        <v>-</v>
      </c>
      <c r="C473" s="9" t="str">
        <f ca="1">IFERROR(__xludf.DUMMYFUNCTION("""COMPUTED_VALUE"""),"-")</f>
        <v>-</v>
      </c>
      <c r="D473" s="8" t="str">
        <f ca="1">IFERROR(__xludf.DUMMYFUNCTION("""COMPUTED_VALUE"""),"-")</f>
        <v>-</v>
      </c>
      <c r="E473" s="8" t="str">
        <f ca="1">IFERROR(__xludf.DUMMYFUNCTION("""COMPUTED_VALUE"""),"-")</f>
        <v>-</v>
      </c>
      <c r="F473" s="8" t="str">
        <f ca="1">IFERROR(__xludf.DUMMYFUNCTION("""COMPUTED_VALUE"""),"-")</f>
        <v>-</v>
      </c>
      <c r="G473" s="8" t="str">
        <f ca="1">IFERROR(__xludf.DUMMYFUNCTION("""COMPUTED_VALUE"""),"-")</f>
        <v>-</v>
      </c>
      <c r="H473" s="8" t="str">
        <f ca="1">IFERROR(__xludf.DUMMYFUNCTION("""COMPUTED_VALUE"""),"-")</f>
        <v>-</v>
      </c>
      <c r="I473" s="8" t="str">
        <f ca="1">IFERROR(__xludf.DUMMYFUNCTION("""COMPUTED_VALUE"""),"-")</f>
        <v>-</v>
      </c>
      <c r="J473" s="8" t="str">
        <f ca="1">IFERROR(__xludf.DUMMYFUNCTION("""COMPUTED_VALUE"""),"-")</f>
        <v>-</v>
      </c>
      <c r="K473" s="8" t="str">
        <f ca="1">IFERROR(__xludf.DUMMYFUNCTION("""COMPUTED_VALUE"""),"-")</f>
        <v>-</v>
      </c>
      <c r="L473" s="8" t="str">
        <f ca="1">IFERROR(__xludf.DUMMYFUNCTION("""COMPUTED_VALUE"""),"-")</f>
        <v>-</v>
      </c>
      <c r="M473" s="8" t="str">
        <f ca="1">IFERROR(__xludf.DUMMYFUNCTION("""COMPUTED_VALUE"""),"-")</f>
        <v>-</v>
      </c>
      <c r="N473" s="8" t="str">
        <f ca="1">IFERROR(__xludf.DUMMYFUNCTION("""COMPUTED_VALUE"""),"-")</f>
        <v>-</v>
      </c>
      <c r="O473" s="8" t="str">
        <f ca="1">IFERROR(__xludf.DUMMYFUNCTION("""COMPUTED_VALUE"""),"-")</f>
        <v>-</v>
      </c>
    </row>
    <row r="474" spans="1:26" ht="15.75" customHeight="1" x14ac:dyDescent="0.25">
      <c r="A474" s="8" t="str">
        <f ca="1">IFERROR(__xludf.DUMMYFUNCTION("""COMPUTED_VALUE"""),"-")</f>
        <v>-</v>
      </c>
      <c r="B474" s="8" t="str">
        <f ca="1">IFERROR(__xludf.DUMMYFUNCTION("""COMPUTED_VALUE"""),"-")</f>
        <v>-</v>
      </c>
      <c r="C474" s="9" t="str">
        <f ca="1">IFERROR(__xludf.DUMMYFUNCTION("""COMPUTED_VALUE"""),"-")</f>
        <v>-</v>
      </c>
      <c r="D474" s="8" t="str">
        <f ca="1">IFERROR(__xludf.DUMMYFUNCTION("""COMPUTED_VALUE"""),"-")</f>
        <v>-</v>
      </c>
      <c r="E474" s="8" t="str">
        <f ca="1">IFERROR(__xludf.DUMMYFUNCTION("""COMPUTED_VALUE"""),"-")</f>
        <v>-</v>
      </c>
      <c r="F474" s="8" t="str">
        <f ca="1">IFERROR(__xludf.DUMMYFUNCTION("""COMPUTED_VALUE"""),"-")</f>
        <v>-</v>
      </c>
      <c r="G474" s="8" t="str">
        <f ca="1">IFERROR(__xludf.DUMMYFUNCTION("""COMPUTED_VALUE"""),"-")</f>
        <v>-</v>
      </c>
      <c r="H474" s="8" t="str">
        <f ca="1">IFERROR(__xludf.DUMMYFUNCTION("""COMPUTED_VALUE"""),"-")</f>
        <v>-</v>
      </c>
      <c r="I474" s="8" t="str">
        <f ca="1">IFERROR(__xludf.DUMMYFUNCTION("""COMPUTED_VALUE"""),"-")</f>
        <v>-</v>
      </c>
      <c r="J474" s="8" t="str">
        <f ca="1">IFERROR(__xludf.DUMMYFUNCTION("""COMPUTED_VALUE"""),"-")</f>
        <v>-</v>
      </c>
      <c r="K474" s="8" t="str">
        <f ca="1">IFERROR(__xludf.DUMMYFUNCTION("""COMPUTED_VALUE"""),"-")</f>
        <v>-</v>
      </c>
      <c r="L474" s="8" t="str">
        <f ca="1">IFERROR(__xludf.DUMMYFUNCTION("""COMPUTED_VALUE"""),"-")</f>
        <v>-</v>
      </c>
      <c r="M474" s="8" t="str">
        <f ca="1">IFERROR(__xludf.DUMMYFUNCTION("""COMPUTED_VALUE"""),"-")</f>
        <v>-</v>
      </c>
      <c r="N474" s="8" t="str">
        <f ca="1">IFERROR(__xludf.DUMMYFUNCTION("""COMPUTED_VALUE"""),"-")</f>
        <v>-</v>
      </c>
      <c r="O474" s="8" t="str">
        <f ca="1">IFERROR(__xludf.DUMMYFUNCTION("""COMPUTED_VALUE"""),"-")</f>
        <v>-</v>
      </c>
    </row>
    <row r="475" spans="1:26" ht="15.75" customHeight="1" x14ac:dyDescent="0.25">
      <c r="A475" s="12" t="str">
        <f ca="1">IFERROR(__xludf.DUMMYFUNCTION("""COMPUTED_VALUE"""),"-")</f>
        <v>-</v>
      </c>
      <c r="B475" s="12" t="str">
        <f ca="1">IFERROR(__xludf.DUMMYFUNCTION("""COMPUTED_VALUE"""),"-")</f>
        <v>-</v>
      </c>
      <c r="C475" s="13" t="str">
        <f ca="1">IFERROR(__xludf.DUMMYFUNCTION("""COMPUTED_VALUE"""),"-")</f>
        <v>-</v>
      </c>
      <c r="D475" s="12" t="str">
        <f ca="1">IFERROR(__xludf.DUMMYFUNCTION("""COMPUTED_VALUE"""),"-")</f>
        <v>-</v>
      </c>
      <c r="E475" s="12" t="str">
        <f ca="1">IFERROR(__xludf.DUMMYFUNCTION("""COMPUTED_VALUE"""),"-")</f>
        <v>-</v>
      </c>
      <c r="F475" s="12" t="str">
        <f ca="1">IFERROR(__xludf.DUMMYFUNCTION("""COMPUTED_VALUE"""),"-")</f>
        <v>-</v>
      </c>
      <c r="G475" s="12" t="str">
        <f ca="1">IFERROR(__xludf.DUMMYFUNCTION("""COMPUTED_VALUE"""),"-")</f>
        <v>-</v>
      </c>
      <c r="H475" s="12" t="str">
        <f ca="1">IFERROR(__xludf.DUMMYFUNCTION("""COMPUTED_VALUE"""),"-")</f>
        <v>-</v>
      </c>
      <c r="I475" s="12" t="str">
        <f ca="1">IFERROR(__xludf.DUMMYFUNCTION("""COMPUTED_VALUE"""),"-")</f>
        <v>-</v>
      </c>
      <c r="J475" s="12" t="str">
        <f ca="1">IFERROR(__xludf.DUMMYFUNCTION("""COMPUTED_VALUE"""),"-")</f>
        <v>-</v>
      </c>
      <c r="K475" s="12" t="str">
        <f ca="1">IFERROR(__xludf.DUMMYFUNCTION("""COMPUTED_VALUE"""),"-")</f>
        <v>-</v>
      </c>
      <c r="L475" s="12" t="str">
        <f ca="1">IFERROR(__xludf.DUMMYFUNCTION("""COMPUTED_VALUE"""),"-")</f>
        <v>-</v>
      </c>
      <c r="M475" s="12" t="str">
        <f ca="1">IFERROR(__xludf.DUMMYFUNCTION("""COMPUTED_VALUE"""),"-")</f>
        <v>-</v>
      </c>
      <c r="N475" s="12" t="str">
        <f ca="1">IFERROR(__xludf.DUMMYFUNCTION("""COMPUTED_VALUE"""),"-")</f>
        <v>-</v>
      </c>
      <c r="O475" s="12" t="str">
        <f ca="1">IFERROR(__xludf.DUMMYFUNCTION("""COMPUTED_VALUE"""),"-")</f>
        <v>-</v>
      </c>
    </row>
    <row r="476" spans="1:26" ht="15.75" customHeight="1" x14ac:dyDescent="0.25">
      <c r="A476" s="8" t="str">
        <f ca="1">IFERROR(__xludf.DUMMYFUNCTION("""COMPUTED_VALUE"""),"-")</f>
        <v>-</v>
      </c>
      <c r="B476" s="8" t="str">
        <f ca="1">IFERROR(__xludf.DUMMYFUNCTION("""COMPUTED_VALUE"""),"-")</f>
        <v>-</v>
      </c>
      <c r="C476" s="14" t="str">
        <f ca="1">IFERROR(__xludf.DUMMYFUNCTION("""COMPUTED_VALUE"""),"-")</f>
        <v>-</v>
      </c>
      <c r="D476" s="8" t="str">
        <f ca="1">IFERROR(__xludf.DUMMYFUNCTION("""COMPUTED_VALUE"""),"-")</f>
        <v>-</v>
      </c>
      <c r="E476" s="8" t="str">
        <f ca="1">IFERROR(__xludf.DUMMYFUNCTION("""COMPUTED_VALUE"""),"-")</f>
        <v>-</v>
      </c>
      <c r="F476" s="8" t="str">
        <f ca="1">IFERROR(__xludf.DUMMYFUNCTION("""COMPUTED_VALUE"""),"-")</f>
        <v>-</v>
      </c>
      <c r="G476" s="8" t="str">
        <f ca="1">IFERROR(__xludf.DUMMYFUNCTION("""COMPUTED_VALUE"""),"-")</f>
        <v>-</v>
      </c>
      <c r="H476" s="8" t="str">
        <f ca="1">IFERROR(__xludf.DUMMYFUNCTION("""COMPUTED_VALUE"""),"-")</f>
        <v>-</v>
      </c>
      <c r="I476" s="8" t="str">
        <f ca="1">IFERROR(__xludf.DUMMYFUNCTION("""COMPUTED_VALUE"""),"-")</f>
        <v>-</v>
      </c>
      <c r="J476" s="8" t="str">
        <f ca="1">IFERROR(__xludf.DUMMYFUNCTION("""COMPUTED_VALUE"""),"-")</f>
        <v>-</v>
      </c>
      <c r="K476" s="8" t="str">
        <f ca="1">IFERROR(__xludf.DUMMYFUNCTION("""COMPUTED_VALUE"""),"-")</f>
        <v>-</v>
      </c>
      <c r="L476" s="8" t="str">
        <f ca="1">IFERROR(__xludf.DUMMYFUNCTION("""COMPUTED_VALUE"""),"-")</f>
        <v>-</v>
      </c>
      <c r="M476" s="8" t="str">
        <f ca="1">IFERROR(__xludf.DUMMYFUNCTION("""COMPUTED_VALUE"""),"-")</f>
        <v>-</v>
      </c>
      <c r="N476" s="8" t="str">
        <f ca="1">IFERROR(__xludf.DUMMYFUNCTION("""COMPUTED_VALUE"""),"-")</f>
        <v>-</v>
      </c>
      <c r="O476" s="8" t="str">
        <f ca="1">IFERROR(__xludf.DUMMYFUNCTION("""COMPUTED_VALUE"""),"-")</f>
        <v>-</v>
      </c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5">
      <c r="A477" s="8" t="str">
        <f ca="1">IFERROR(__xludf.DUMMYFUNCTION("""COMPUTED_VALUE"""),"-")</f>
        <v>-</v>
      </c>
      <c r="B477" s="8" t="str">
        <f ca="1">IFERROR(__xludf.DUMMYFUNCTION("""COMPUTED_VALUE"""),"-")</f>
        <v>-</v>
      </c>
      <c r="C477" s="15" t="str">
        <f ca="1">IFERROR(__xludf.DUMMYFUNCTION("""COMPUTED_VALUE"""),"-")</f>
        <v>-</v>
      </c>
      <c r="D477" s="8" t="str">
        <f ca="1">IFERROR(__xludf.DUMMYFUNCTION("""COMPUTED_VALUE"""),"-")</f>
        <v>-</v>
      </c>
      <c r="E477" s="8" t="str">
        <f ca="1">IFERROR(__xludf.DUMMYFUNCTION("""COMPUTED_VALUE"""),"-")</f>
        <v>-</v>
      </c>
      <c r="F477" s="8" t="str">
        <f ca="1">IFERROR(__xludf.DUMMYFUNCTION("""COMPUTED_VALUE"""),"-")</f>
        <v>-</v>
      </c>
      <c r="G477" s="8" t="str">
        <f ca="1">IFERROR(__xludf.DUMMYFUNCTION("""COMPUTED_VALUE"""),"-")</f>
        <v>-</v>
      </c>
      <c r="H477" s="8" t="str">
        <f ca="1">IFERROR(__xludf.DUMMYFUNCTION("""COMPUTED_VALUE"""),"-")</f>
        <v>-</v>
      </c>
      <c r="I477" s="8" t="str">
        <f ca="1">IFERROR(__xludf.DUMMYFUNCTION("""COMPUTED_VALUE"""),"-")</f>
        <v>-</v>
      </c>
      <c r="J477" s="8" t="str">
        <f ca="1">IFERROR(__xludf.DUMMYFUNCTION("""COMPUTED_VALUE"""),"-")</f>
        <v>-</v>
      </c>
      <c r="K477" s="8" t="str">
        <f ca="1">IFERROR(__xludf.DUMMYFUNCTION("""COMPUTED_VALUE"""),"-")</f>
        <v>-</v>
      </c>
      <c r="L477" s="8" t="str">
        <f ca="1">IFERROR(__xludf.DUMMYFUNCTION("""COMPUTED_VALUE"""),"-")</f>
        <v>-</v>
      </c>
      <c r="M477" s="8" t="str">
        <f ca="1">IFERROR(__xludf.DUMMYFUNCTION("""COMPUTED_VALUE"""),"-")</f>
        <v>-</v>
      </c>
      <c r="N477" s="8" t="str">
        <f ca="1">IFERROR(__xludf.DUMMYFUNCTION("""COMPUTED_VALUE"""),"-")</f>
        <v>-</v>
      </c>
      <c r="O477" s="8" t="str">
        <f ca="1">IFERROR(__xludf.DUMMYFUNCTION("""COMPUTED_VALUE"""),"-")</f>
        <v>-</v>
      </c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5">
      <c r="A478" s="8" t="str">
        <f ca="1">IFERROR(__xludf.DUMMYFUNCTION("""COMPUTED_VALUE"""),"-")</f>
        <v>-</v>
      </c>
      <c r="B478" s="8" t="str">
        <f ca="1">IFERROR(__xludf.DUMMYFUNCTION("""COMPUTED_VALUE"""),"-")</f>
        <v>-</v>
      </c>
      <c r="C478" s="15" t="str">
        <f ca="1">IFERROR(__xludf.DUMMYFUNCTION("""COMPUTED_VALUE"""),"-")</f>
        <v>-</v>
      </c>
      <c r="D478" s="8" t="str">
        <f ca="1">IFERROR(__xludf.DUMMYFUNCTION("""COMPUTED_VALUE"""),"-")</f>
        <v>-</v>
      </c>
      <c r="E478" s="8" t="str">
        <f ca="1">IFERROR(__xludf.DUMMYFUNCTION("""COMPUTED_VALUE"""),"-")</f>
        <v>-</v>
      </c>
      <c r="F478" s="8" t="str">
        <f ca="1">IFERROR(__xludf.DUMMYFUNCTION("""COMPUTED_VALUE"""),"-")</f>
        <v>-</v>
      </c>
      <c r="G478" s="8" t="str">
        <f ca="1">IFERROR(__xludf.DUMMYFUNCTION("""COMPUTED_VALUE"""),"-")</f>
        <v>-</v>
      </c>
      <c r="H478" s="8" t="str">
        <f ca="1">IFERROR(__xludf.DUMMYFUNCTION("""COMPUTED_VALUE"""),"-")</f>
        <v>-</v>
      </c>
      <c r="I478" s="8" t="str">
        <f ca="1">IFERROR(__xludf.DUMMYFUNCTION("""COMPUTED_VALUE"""),"-")</f>
        <v>-</v>
      </c>
      <c r="J478" s="8" t="str">
        <f ca="1">IFERROR(__xludf.DUMMYFUNCTION("""COMPUTED_VALUE"""),"-")</f>
        <v>-</v>
      </c>
      <c r="K478" s="8" t="str">
        <f ca="1">IFERROR(__xludf.DUMMYFUNCTION("""COMPUTED_VALUE"""),"-")</f>
        <v>-</v>
      </c>
      <c r="L478" s="8" t="str">
        <f ca="1">IFERROR(__xludf.DUMMYFUNCTION("""COMPUTED_VALUE"""),"-")</f>
        <v>-</v>
      </c>
      <c r="M478" s="8" t="str">
        <f ca="1">IFERROR(__xludf.DUMMYFUNCTION("""COMPUTED_VALUE"""),"-")</f>
        <v>-</v>
      </c>
      <c r="N478" s="8" t="str">
        <f ca="1">IFERROR(__xludf.DUMMYFUNCTION("""COMPUTED_VALUE"""),"-")</f>
        <v>-</v>
      </c>
      <c r="O478" s="8" t="str">
        <f ca="1">IFERROR(__xludf.DUMMYFUNCTION("""COMPUTED_VALUE"""),"-")</f>
        <v>-</v>
      </c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5">
      <c r="A479" s="8" t="str">
        <f ca="1">IFERROR(__xludf.DUMMYFUNCTION("""COMPUTED_VALUE"""),"-")</f>
        <v>-</v>
      </c>
      <c r="B479" s="8" t="str">
        <f ca="1">IFERROR(__xludf.DUMMYFUNCTION("""COMPUTED_VALUE"""),"-")</f>
        <v>-</v>
      </c>
      <c r="C479" s="15" t="str">
        <f ca="1">IFERROR(__xludf.DUMMYFUNCTION("""COMPUTED_VALUE"""),"-")</f>
        <v>-</v>
      </c>
      <c r="D479" s="8" t="str">
        <f ca="1">IFERROR(__xludf.DUMMYFUNCTION("""COMPUTED_VALUE"""),"-")</f>
        <v>-</v>
      </c>
      <c r="E479" s="8" t="str">
        <f ca="1">IFERROR(__xludf.DUMMYFUNCTION("""COMPUTED_VALUE"""),"-")</f>
        <v>-</v>
      </c>
      <c r="F479" s="8" t="str">
        <f ca="1">IFERROR(__xludf.DUMMYFUNCTION("""COMPUTED_VALUE"""),"-")</f>
        <v>-</v>
      </c>
      <c r="G479" s="8" t="str">
        <f ca="1">IFERROR(__xludf.DUMMYFUNCTION("""COMPUTED_VALUE"""),"-")</f>
        <v>-</v>
      </c>
      <c r="H479" s="8" t="str">
        <f ca="1">IFERROR(__xludf.DUMMYFUNCTION("""COMPUTED_VALUE"""),"-")</f>
        <v>-</v>
      </c>
      <c r="I479" s="8" t="str">
        <f ca="1">IFERROR(__xludf.DUMMYFUNCTION("""COMPUTED_VALUE"""),"-")</f>
        <v>-</v>
      </c>
      <c r="J479" s="8" t="str">
        <f ca="1">IFERROR(__xludf.DUMMYFUNCTION("""COMPUTED_VALUE"""),"-")</f>
        <v>-</v>
      </c>
      <c r="K479" s="8" t="str">
        <f ca="1">IFERROR(__xludf.DUMMYFUNCTION("""COMPUTED_VALUE"""),"-")</f>
        <v>-</v>
      </c>
      <c r="L479" s="8" t="str">
        <f ca="1">IFERROR(__xludf.DUMMYFUNCTION("""COMPUTED_VALUE"""),"-")</f>
        <v>-</v>
      </c>
      <c r="M479" s="8" t="str">
        <f ca="1">IFERROR(__xludf.DUMMYFUNCTION("""COMPUTED_VALUE"""),"-")</f>
        <v>-</v>
      </c>
      <c r="N479" s="8" t="str">
        <f ca="1">IFERROR(__xludf.DUMMYFUNCTION("""COMPUTED_VALUE"""),"-")</f>
        <v>-</v>
      </c>
      <c r="O479" s="8" t="str">
        <f ca="1">IFERROR(__xludf.DUMMYFUNCTION("""COMPUTED_VALUE"""),"-")</f>
        <v>-</v>
      </c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5">
      <c r="A480" s="8" t="str">
        <f ca="1">IFERROR(__xludf.DUMMYFUNCTION("""COMPUTED_VALUE"""),"-")</f>
        <v>-</v>
      </c>
      <c r="B480" s="8" t="str">
        <f ca="1">IFERROR(__xludf.DUMMYFUNCTION("""COMPUTED_VALUE"""),"-")</f>
        <v>-</v>
      </c>
      <c r="C480" s="15" t="str">
        <f ca="1">IFERROR(__xludf.DUMMYFUNCTION("""COMPUTED_VALUE"""),"-")</f>
        <v>-</v>
      </c>
      <c r="D480" s="8" t="str">
        <f ca="1">IFERROR(__xludf.DUMMYFUNCTION("""COMPUTED_VALUE"""),"-")</f>
        <v>-</v>
      </c>
      <c r="E480" s="8" t="str">
        <f ca="1">IFERROR(__xludf.DUMMYFUNCTION("""COMPUTED_VALUE"""),"-")</f>
        <v>-</v>
      </c>
      <c r="F480" s="8" t="str">
        <f ca="1">IFERROR(__xludf.DUMMYFUNCTION("""COMPUTED_VALUE"""),"-")</f>
        <v>-</v>
      </c>
      <c r="G480" s="8" t="str">
        <f ca="1">IFERROR(__xludf.DUMMYFUNCTION("""COMPUTED_VALUE"""),"-")</f>
        <v>-</v>
      </c>
      <c r="H480" s="8" t="str">
        <f ca="1">IFERROR(__xludf.DUMMYFUNCTION("""COMPUTED_VALUE"""),"-")</f>
        <v>-</v>
      </c>
      <c r="I480" s="8" t="str">
        <f ca="1">IFERROR(__xludf.DUMMYFUNCTION("""COMPUTED_VALUE"""),"-")</f>
        <v>-</v>
      </c>
      <c r="J480" s="8" t="str">
        <f ca="1">IFERROR(__xludf.DUMMYFUNCTION("""COMPUTED_VALUE"""),"-")</f>
        <v>-</v>
      </c>
      <c r="K480" s="8" t="str">
        <f ca="1">IFERROR(__xludf.DUMMYFUNCTION("""COMPUTED_VALUE"""),"-")</f>
        <v>-</v>
      </c>
      <c r="L480" s="8" t="str">
        <f ca="1">IFERROR(__xludf.DUMMYFUNCTION("""COMPUTED_VALUE"""),"-")</f>
        <v>-</v>
      </c>
      <c r="M480" s="8" t="str">
        <f ca="1">IFERROR(__xludf.DUMMYFUNCTION("""COMPUTED_VALUE"""),"-")</f>
        <v>-</v>
      </c>
      <c r="N480" s="8" t="str">
        <f ca="1">IFERROR(__xludf.DUMMYFUNCTION("""COMPUTED_VALUE"""),"-")</f>
        <v>-</v>
      </c>
      <c r="O480" s="8" t="str">
        <f ca="1">IFERROR(__xludf.DUMMYFUNCTION("""COMPUTED_VALUE"""),"-")</f>
        <v>-</v>
      </c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5">
      <c r="A481" s="8" t="str">
        <f ca="1">IFERROR(__xludf.DUMMYFUNCTION("""COMPUTED_VALUE"""),"-")</f>
        <v>-</v>
      </c>
      <c r="B481" s="8" t="str">
        <f ca="1">IFERROR(__xludf.DUMMYFUNCTION("""COMPUTED_VALUE"""),"-")</f>
        <v>-</v>
      </c>
      <c r="C481" s="15" t="str">
        <f ca="1">IFERROR(__xludf.DUMMYFUNCTION("""COMPUTED_VALUE"""),"-")</f>
        <v>-</v>
      </c>
      <c r="D481" s="8" t="str">
        <f ca="1">IFERROR(__xludf.DUMMYFUNCTION("""COMPUTED_VALUE"""),"-")</f>
        <v>-</v>
      </c>
      <c r="E481" s="8" t="str">
        <f ca="1">IFERROR(__xludf.DUMMYFUNCTION("""COMPUTED_VALUE"""),"-")</f>
        <v>-</v>
      </c>
      <c r="F481" s="8" t="str">
        <f ca="1">IFERROR(__xludf.DUMMYFUNCTION("""COMPUTED_VALUE"""),"-")</f>
        <v>-</v>
      </c>
      <c r="G481" s="8" t="str">
        <f ca="1">IFERROR(__xludf.DUMMYFUNCTION("""COMPUTED_VALUE"""),"-")</f>
        <v>-</v>
      </c>
      <c r="H481" s="8" t="str">
        <f ca="1">IFERROR(__xludf.DUMMYFUNCTION("""COMPUTED_VALUE"""),"-")</f>
        <v>-</v>
      </c>
      <c r="I481" s="8" t="str">
        <f ca="1">IFERROR(__xludf.DUMMYFUNCTION("""COMPUTED_VALUE"""),"-")</f>
        <v>-</v>
      </c>
      <c r="J481" s="8" t="str">
        <f ca="1">IFERROR(__xludf.DUMMYFUNCTION("""COMPUTED_VALUE"""),"-")</f>
        <v>-</v>
      </c>
      <c r="K481" s="8" t="str">
        <f ca="1">IFERROR(__xludf.DUMMYFUNCTION("""COMPUTED_VALUE"""),"-")</f>
        <v>-</v>
      </c>
      <c r="L481" s="8" t="str">
        <f ca="1">IFERROR(__xludf.DUMMYFUNCTION("""COMPUTED_VALUE"""),"-")</f>
        <v>-</v>
      </c>
      <c r="M481" s="8" t="str">
        <f ca="1">IFERROR(__xludf.DUMMYFUNCTION("""COMPUTED_VALUE"""),"-")</f>
        <v>-</v>
      </c>
      <c r="N481" s="8" t="str">
        <f ca="1">IFERROR(__xludf.DUMMYFUNCTION("""COMPUTED_VALUE"""),"-")</f>
        <v>-</v>
      </c>
      <c r="O481" s="8" t="str">
        <f ca="1">IFERROR(__xludf.DUMMYFUNCTION("""COMPUTED_VALUE"""),"-")</f>
        <v>-</v>
      </c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5">
      <c r="A482" s="8" t="str">
        <f ca="1">IFERROR(__xludf.DUMMYFUNCTION("""COMPUTED_VALUE"""),"-")</f>
        <v>-</v>
      </c>
      <c r="B482" s="8" t="str">
        <f ca="1">IFERROR(__xludf.DUMMYFUNCTION("""COMPUTED_VALUE"""),"-")</f>
        <v>-</v>
      </c>
      <c r="C482" s="15" t="str">
        <f ca="1">IFERROR(__xludf.DUMMYFUNCTION("""COMPUTED_VALUE"""),"-")</f>
        <v>-</v>
      </c>
      <c r="D482" s="8" t="str">
        <f ca="1">IFERROR(__xludf.DUMMYFUNCTION("""COMPUTED_VALUE"""),"-")</f>
        <v>-</v>
      </c>
      <c r="E482" s="8" t="str">
        <f ca="1">IFERROR(__xludf.DUMMYFUNCTION("""COMPUTED_VALUE"""),"-")</f>
        <v>-</v>
      </c>
      <c r="F482" s="8" t="str">
        <f ca="1">IFERROR(__xludf.DUMMYFUNCTION("""COMPUTED_VALUE"""),"-")</f>
        <v>-</v>
      </c>
      <c r="G482" s="8" t="str">
        <f ca="1">IFERROR(__xludf.DUMMYFUNCTION("""COMPUTED_VALUE"""),"-")</f>
        <v>-</v>
      </c>
      <c r="H482" s="8" t="str">
        <f ca="1">IFERROR(__xludf.DUMMYFUNCTION("""COMPUTED_VALUE"""),"-")</f>
        <v>-</v>
      </c>
      <c r="I482" s="8" t="str">
        <f ca="1">IFERROR(__xludf.DUMMYFUNCTION("""COMPUTED_VALUE"""),"-")</f>
        <v>-</v>
      </c>
      <c r="J482" s="8" t="str">
        <f ca="1">IFERROR(__xludf.DUMMYFUNCTION("""COMPUTED_VALUE"""),"-")</f>
        <v>-</v>
      </c>
      <c r="K482" s="8" t="str">
        <f ca="1">IFERROR(__xludf.DUMMYFUNCTION("""COMPUTED_VALUE"""),"-")</f>
        <v>-</v>
      </c>
      <c r="L482" s="8" t="str">
        <f ca="1">IFERROR(__xludf.DUMMYFUNCTION("""COMPUTED_VALUE"""),"-")</f>
        <v>-</v>
      </c>
      <c r="M482" s="8" t="str">
        <f ca="1">IFERROR(__xludf.DUMMYFUNCTION("""COMPUTED_VALUE"""),"-")</f>
        <v>-</v>
      </c>
      <c r="N482" s="8" t="str">
        <f ca="1">IFERROR(__xludf.DUMMYFUNCTION("""COMPUTED_VALUE"""),"-")</f>
        <v>-</v>
      </c>
      <c r="O482" s="8" t="str">
        <f ca="1">IFERROR(__xludf.DUMMYFUNCTION("""COMPUTED_VALUE"""),"-")</f>
        <v>-</v>
      </c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5">
      <c r="A483" s="8" t="str">
        <f ca="1">IFERROR(__xludf.DUMMYFUNCTION("""COMPUTED_VALUE"""),"-")</f>
        <v>-</v>
      </c>
      <c r="B483" s="8" t="str">
        <f ca="1">IFERROR(__xludf.DUMMYFUNCTION("""COMPUTED_VALUE"""),"-")</f>
        <v>-</v>
      </c>
      <c r="C483" s="15" t="str">
        <f ca="1">IFERROR(__xludf.DUMMYFUNCTION("""COMPUTED_VALUE"""),"-")</f>
        <v>-</v>
      </c>
      <c r="D483" s="8" t="str">
        <f ca="1">IFERROR(__xludf.DUMMYFUNCTION("""COMPUTED_VALUE"""),"-")</f>
        <v>-</v>
      </c>
      <c r="E483" s="8" t="str">
        <f ca="1">IFERROR(__xludf.DUMMYFUNCTION("""COMPUTED_VALUE"""),"-")</f>
        <v>-</v>
      </c>
      <c r="F483" s="8" t="str">
        <f ca="1">IFERROR(__xludf.DUMMYFUNCTION("""COMPUTED_VALUE"""),"-")</f>
        <v>-</v>
      </c>
      <c r="G483" s="8" t="str">
        <f ca="1">IFERROR(__xludf.DUMMYFUNCTION("""COMPUTED_VALUE"""),"-")</f>
        <v>-</v>
      </c>
      <c r="H483" s="8" t="str">
        <f ca="1">IFERROR(__xludf.DUMMYFUNCTION("""COMPUTED_VALUE"""),"-")</f>
        <v>-</v>
      </c>
      <c r="I483" s="8" t="str">
        <f ca="1">IFERROR(__xludf.DUMMYFUNCTION("""COMPUTED_VALUE"""),"-")</f>
        <v>-</v>
      </c>
      <c r="J483" s="8" t="str">
        <f ca="1">IFERROR(__xludf.DUMMYFUNCTION("""COMPUTED_VALUE"""),"-")</f>
        <v>-</v>
      </c>
      <c r="K483" s="8" t="str">
        <f ca="1">IFERROR(__xludf.DUMMYFUNCTION("""COMPUTED_VALUE"""),"-")</f>
        <v>-</v>
      </c>
      <c r="L483" s="8" t="str">
        <f ca="1">IFERROR(__xludf.DUMMYFUNCTION("""COMPUTED_VALUE"""),"-")</f>
        <v>-</v>
      </c>
      <c r="M483" s="8" t="str">
        <f ca="1">IFERROR(__xludf.DUMMYFUNCTION("""COMPUTED_VALUE"""),"-")</f>
        <v>-</v>
      </c>
      <c r="N483" s="8" t="str">
        <f ca="1">IFERROR(__xludf.DUMMYFUNCTION("""COMPUTED_VALUE"""),"-")</f>
        <v>-</v>
      </c>
      <c r="O483" s="8" t="str">
        <f ca="1">IFERROR(__xludf.DUMMYFUNCTION("""COMPUTED_VALUE"""),"-")</f>
        <v>-</v>
      </c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5">
      <c r="A484" s="8" t="str">
        <f ca="1">IFERROR(__xludf.DUMMYFUNCTION("""COMPUTED_VALUE"""),"-")</f>
        <v>-</v>
      </c>
      <c r="B484" s="8" t="str">
        <f ca="1">IFERROR(__xludf.DUMMYFUNCTION("""COMPUTED_VALUE"""),"-")</f>
        <v>-</v>
      </c>
      <c r="C484" s="15" t="str">
        <f ca="1">IFERROR(__xludf.DUMMYFUNCTION("""COMPUTED_VALUE"""),"-")</f>
        <v>-</v>
      </c>
      <c r="D484" s="8" t="str">
        <f ca="1">IFERROR(__xludf.DUMMYFUNCTION("""COMPUTED_VALUE"""),"-")</f>
        <v>-</v>
      </c>
      <c r="E484" s="8" t="str">
        <f ca="1">IFERROR(__xludf.DUMMYFUNCTION("""COMPUTED_VALUE"""),"-")</f>
        <v>-</v>
      </c>
      <c r="F484" s="8" t="str">
        <f ca="1">IFERROR(__xludf.DUMMYFUNCTION("""COMPUTED_VALUE"""),"-")</f>
        <v>-</v>
      </c>
      <c r="G484" s="8" t="str">
        <f ca="1">IFERROR(__xludf.DUMMYFUNCTION("""COMPUTED_VALUE"""),"-")</f>
        <v>-</v>
      </c>
      <c r="H484" s="8" t="str">
        <f ca="1">IFERROR(__xludf.DUMMYFUNCTION("""COMPUTED_VALUE"""),"-")</f>
        <v>-</v>
      </c>
      <c r="I484" s="8" t="str">
        <f ca="1">IFERROR(__xludf.DUMMYFUNCTION("""COMPUTED_VALUE"""),"-")</f>
        <v>-</v>
      </c>
      <c r="J484" s="8" t="str">
        <f ca="1">IFERROR(__xludf.DUMMYFUNCTION("""COMPUTED_VALUE"""),"-")</f>
        <v>-</v>
      </c>
      <c r="K484" s="8" t="str">
        <f ca="1">IFERROR(__xludf.DUMMYFUNCTION("""COMPUTED_VALUE"""),"-")</f>
        <v>-</v>
      </c>
      <c r="L484" s="8" t="str">
        <f ca="1">IFERROR(__xludf.DUMMYFUNCTION("""COMPUTED_VALUE"""),"-")</f>
        <v>-</v>
      </c>
      <c r="M484" s="8" t="str">
        <f ca="1">IFERROR(__xludf.DUMMYFUNCTION("""COMPUTED_VALUE"""),"-")</f>
        <v>-</v>
      </c>
      <c r="N484" s="8" t="str">
        <f ca="1">IFERROR(__xludf.DUMMYFUNCTION("""COMPUTED_VALUE"""),"-")</f>
        <v>-</v>
      </c>
      <c r="O484" s="8" t="str">
        <f ca="1">IFERROR(__xludf.DUMMYFUNCTION("""COMPUTED_VALUE"""),"-")</f>
        <v>-</v>
      </c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5">
      <c r="A485" s="8" t="str">
        <f ca="1">IFERROR(__xludf.DUMMYFUNCTION("""COMPUTED_VALUE"""),"-")</f>
        <v>-</v>
      </c>
      <c r="B485" s="8" t="str">
        <f ca="1">IFERROR(__xludf.DUMMYFUNCTION("""COMPUTED_VALUE"""),"-")</f>
        <v>-</v>
      </c>
      <c r="C485" s="15" t="str">
        <f ca="1">IFERROR(__xludf.DUMMYFUNCTION("""COMPUTED_VALUE"""),"-")</f>
        <v>-</v>
      </c>
      <c r="D485" s="8" t="str">
        <f ca="1">IFERROR(__xludf.DUMMYFUNCTION("""COMPUTED_VALUE"""),"-")</f>
        <v>-</v>
      </c>
      <c r="E485" s="8" t="str">
        <f ca="1">IFERROR(__xludf.DUMMYFUNCTION("""COMPUTED_VALUE"""),"-")</f>
        <v>-</v>
      </c>
      <c r="F485" s="8" t="str">
        <f ca="1">IFERROR(__xludf.DUMMYFUNCTION("""COMPUTED_VALUE"""),"-")</f>
        <v>-</v>
      </c>
      <c r="G485" s="8" t="str">
        <f ca="1">IFERROR(__xludf.DUMMYFUNCTION("""COMPUTED_VALUE"""),"-")</f>
        <v>-</v>
      </c>
      <c r="H485" s="8" t="str">
        <f ca="1">IFERROR(__xludf.DUMMYFUNCTION("""COMPUTED_VALUE"""),"-")</f>
        <v>-</v>
      </c>
      <c r="I485" s="8" t="str">
        <f ca="1">IFERROR(__xludf.DUMMYFUNCTION("""COMPUTED_VALUE"""),"-")</f>
        <v>-</v>
      </c>
      <c r="J485" s="8" t="str">
        <f ca="1">IFERROR(__xludf.DUMMYFUNCTION("""COMPUTED_VALUE"""),"-")</f>
        <v>-</v>
      </c>
      <c r="K485" s="8" t="str">
        <f ca="1">IFERROR(__xludf.DUMMYFUNCTION("""COMPUTED_VALUE"""),"-")</f>
        <v>-</v>
      </c>
      <c r="L485" s="8" t="str">
        <f ca="1">IFERROR(__xludf.DUMMYFUNCTION("""COMPUTED_VALUE"""),"-")</f>
        <v>-</v>
      </c>
      <c r="M485" s="8" t="str">
        <f ca="1">IFERROR(__xludf.DUMMYFUNCTION("""COMPUTED_VALUE"""),"-")</f>
        <v>-</v>
      </c>
      <c r="N485" s="8" t="str">
        <f ca="1">IFERROR(__xludf.DUMMYFUNCTION("""COMPUTED_VALUE"""),"-")</f>
        <v>-</v>
      </c>
      <c r="O485" s="8" t="str">
        <f ca="1">IFERROR(__xludf.DUMMYFUNCTION("""COMPUTED_VALUE"""),"-")</f>
        <v>-</v>
      </c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5">
      <c r="A486" s="8" t="str">
        <f ca="1">IFERROR(__xludf.DUMMYFUNCTION("""COMPUTED_VALUE"""),"-")</f>
        <v>-</v>
      </c>
      <c r="B486" s="8" t="str">
        <f ca="1">IFERROR(__xludf.DUMMYFUNCTION("""COMPUTED_VALUE"""),"-")</f>
        <v>-</v>
      </c>
      <c r="C486" s="15" t="str">
        <f ca="1">IFERROR(__xludf.DUMMYFUNCTION("""COMPUTED_VALUE"""),"-")</f>
        <v>-</v>
      </c>
      <c r="D486" s="8" t="str">
        <f ca="1">IFERROR(__xludf.DUMMYFUNCTION("""COMPUTED_VALUE"""),"-")</f>
        <v>-</v>
      </c>
      <c r="E486" s="8" t="str">
        <f ca="1">IFERROR(__xludf.DUMMYFUNCTION("""COMPUTED_VALUE"""),"-")</f>
        <v>-</v>
      </c>
      <c r="F486" s="8" t="str">
        <f ca="1">IFERROR(__xludf.DUMMYFUNCTION("""COMPUTED_VALUE"""),"-")</f>
        <v>-</v>
      </c>
      <c r="G486" s="8" t="str">
        <f ca="1">IFERROR(__xludf.DUMMYFUNCTION("""COMPUTED_VALUE"""),"-")</f>
        <v>-</v>
      </c>
      <c r="H486" s="8" t="str">
        <f ca="1">IFERROR(__xludf.DUMMYFUNCTION("""COMPUTED_VALUE"""),"-")</f>
        <v>-</v>
      </c>
      <c r="I486" s="8" t="str">
        <f ca="1">IFERROR(__xludf.DUMMYFUNCTION("""COMPUTED_VALUE"""),"-")</f>
        <v>-</v>
      </c>
      <c r="J486" s="8" t="str">
        <f ca="1">IFERROR(__xludf.DUMMYFUNCTION("""COMPUTED_VALUE"""),"-")</f>
        <v>-</v>
      </c>
      <c r="K486" s="8" t="str">
        <f ca="1">IFERROR(__xludf.DUMMYFUNCTION("""COMPUTED_VALUE"""),"-")</f>
        <v>-</v>
      </c>
      <c r="L486" s="8" t="str">
        <f ca="1">IFERROR(__xludf.DUMMYFUNCTION("""COMPUTED_VALUE"""),"-")</f>
        <v>-</v>
      </c>
      <c r="M486" s="8" t="str">
        <f ca="1">IFERROR(__xludf.DUMMYFUNCTION("""COMPUTED_VALUE"""),"-")</f>
        <v>-</v>
      </c>
      <c r="N486" s="8" t="str">
        <f ca="1">IFERROR(__xludf.DUMMYFUNCTION("""COMPUTED_VALUE"""),"-")</f>
        <v>-</v>
      </c>
      <c r="O486" s="8" t="str">
        <f ca="1">IFERROR(__xludf.DUMMYFUNCTION("""COMPUTED_VALUE"""),"-")</f>
        <v>-</v>
      </c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5">
      <c r="A487" s="8" t="str">
        <f ca="1">IFERROR(__xludf.DUMMYFUNCTION("""COMPUTED_VALUE"""),"-")</f>
        <v>-</v>
      </c>
      <c r="B487" s="8" t="str">
        <f ca="1">IFERROR(__xludf.DUMMYFUNCTION("""COMPUTED_VALUE"""),"-")</f>
        <v>-</v>
      </c>
      <c r="C487" s="15" t="str">
        <f ca="1">IFERROR(__xludf.DUMMYFUNCTION("""COMPUTED_VALUE"""),"-")</f>
        <v>-</v>
      </c>
      <c r="D487" s="8" t="str">
        <f ca="1">IFERROR(__xludf.DUMMYFUNCTION("""COMPUTED_VALUE"""),"-")</f>
        <v>-</v>
      </c>
      <c r="E487" s="8" t="str">
        <f ca="1">IFERROR(__xludf.DUMMYFUNCTION("""COMPUTED_VALUE"""),"-")</f>
        <v>-</v>
      </c>
      <c r="F487" s="8" t="str">
        <f ca="1">IFERROR(__xludf.DUMMYFUNCTION("""COMPUTED_VALUE"""),"-")</f>
        <v>-</v>
      </c>
      <c r="G487" s="8" t="str">
        <f ca="1">IFERROR(__xludf.DUMMYFUNCTION("""COMPUTED_VALUE"""),"-")</f>
        <v>-</v>
      </c>
      <c r="H487" s="8" t="str">
        <f ca="1">IFERROR(__xludf.DUMMYFUNCTION("""COMPUTED_VALUE"""),"-")</f>
        <v>-</v>
      </c>
      <c r="I487" s="8" t="str">
        <f ca="1">IFERROR(__xludf.DUMMYFUNCTION("""COMPUTED_VALUE"""),"-")</f>
        <v>-</v>
      </c>
      <c r="J487" s="8" t="str">
        <f ca="1">IFERROR(__xludf.DUMMYFUNCTION("""COMPUTED_VALUE"""),"-")</f>
        <v>-</v>
      </c>
      <c r="K487" s="8" t="str">
        <f ca="1">IFERROR(__xludf.DUMMYFUNCTION("""COMPUTED_VALUE"""),"-")</f>
        <v>-</v>
      </c>
      <c r="L487" s="8" t="str">
        <f ca="1">IFERROR(__xludf.DUMMYFUNCTION("""COMPUTED_VALUE"""),"-")</f>
        <v>-</v>
      </c>
      <c r="M487" s="8" t="str">
        <f ca="1">IFERROR(__xludf.DUMMYFUNCTION("""COMPUTED_VALUE"""),"-")</f>
        <v>-</v>
      </c>
      <c r="N487" s="8" t="str">
        <f ca="1">IFERROR(__xludf.DUMMYFUNCTION("""COMPUTED_VALUE"""),"-")</f>
        <v>-</v>
      </c>
      <c r="O487" s="8" t="str">
        <f ca="1">IFERROR(__xludf.DUMMYFUNCTION("""COMPUTED_VALUE"""),"-")</f>
        <v>-</v>
      </c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5">
      <c r="A488" s="8" t="str">
        <f ca="1">IFERROR(__xludf.DUMMYFUNCTION("""COMPUTED_VALUE"""),"-")</f>
        <v>-</v>
      </c>
      <c r="B488" s="8" t="str">
        <f ca="1">IFERROR(__xludf.DUMMYFUNCTION("""COMPUTED_VALUE"""),"-")</f>
        <v>-</v>
      </c>
      <c r="C488" s="15" t="str">
        <f ca="1">IFERROR(__xludf.DUMMYFUNCTION("""COMPUTED_VALUE"""),"-")</f>
        <v>-</v>
      </c>
      <c r="D488" s="8" t="str">
        <f ca="1">IFERROR(__xludf.DUMMYFUNCTION("""COMPUTED_VALUE"""),"-")</f>
        <v>-</v>
      </c>
      <c r="E488" s="8" t="str">
        <f ca="1">IFERROR(__xludf.DUMMYFUNCTION("""COMPUTED_VALUE"""),"-")</f>
        <v>-</v>
      </c>
      <c r="F488" s="8" t="str">
        <f ca="1">IFERROR(__xludf.DUMMYFUNCTION("""COMPUTED_VALUE"""),"-")</f>
        <v>-</v>
      </c>
      <c r="G488" s="8" t="str">
        <f ca="1">IFERROR(__xludf.DUMMYFUNCTION("""COMPUTED_VALUE"""),"-")</f>
        <v>-</v>
      </c>
      <c r="H488" s="8" t="str">
        <f ca="1">IFERROR(__xludf.DUMMYFUNCTION("""COMPUTED_VALUE"""),"-")</f>
        <v>-</v>
      </c>
      <c r="I488" s="8" t="str">
        <f ca="1">IFERROR(__xludf.DUMMYFUNCTION("""COMPUTED_VALUE"""),"-")</f>
        <v>-</v>
      </c>
      <c r="J488" s="8" t="str">
        <f ca="1">IFERROR(__xludf.DUMMYFUNCTION("""COMPUTED_VALUE"""),"-")</f>
        <v>-</v>
      </c>
      <c r="K488" s="8" t="str">
        <f ca="1">IFERROR(__xludf.DUMMYFUNCTION("""COMPUTED_VALUE"""),"-")</f>
        <v>-</v>
      </c>
      <c r="L488" s="8" t="str">
        <f ca="1">IFERROR(__xludf.DUMMYFUNCTION("""COMPUTED_VALUE"""),"-")</f>
        <v>-</v>
      </c>
      <c r="M488" s="8" t="str">
        <f ca="1">IFERROR(__xludf.DUMMYFUNCTION("""COMPUTED_VALUE"""),"-")</f>
        <v>-</v>
      </c>
      <c r="N488" s="8" t="str">
        <f ca="1">IFERROR(__xludf.DUMMYFUNCTION("""COMPUTED_VALUE"""),"-")</f>
        <v>-</v>
      </c>
      <c r="O488" s="8" t="str">
        <f ca="1">IFERROR(__xludf.DUMMYFUNCTION("""COMPUTED_VALUE"""),"-")</f>
        <v>-</v>
      </c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5">
      <c r="A489" s="8" t="str">
        <f ca="1">IFERROR(__xludf.DUMMYFUNCTION("""COMPUTED_VALUE"""),"-")</f>
        <v>-</v>
      </c>
      <c r="B489" s="8" t="str">
        <f ca="1">IFERROR(__xludf.DUMMYFUNCTION("""COMPUTED_VALUE"""),"-")</f>
        <v>-</v>
      </c>
      <c r="C489" s="15" t="str">
        <f ca="1">IFERROR(__xludf.DUMMYFUNCTION("""COMPUTED_VALUE"""),"-")</f>
        <v>-</v>
      </c>
      <c r="D489" s="8" t="str">
        <f ca="1">IFERROR(__xludf.DUMMYFUNCTION("""COMPUTED_VALUE"""),"-")</f>
        <v>-</v>
      </c>
      <c r="E489" s="8" t="str">
        <f ca="1">IFERROR(__xludf.DUMMYFUNCTION("""COMPUTED_VALUE"""),"-")</f>
        <v>-</v>
      </c>
      <c r="F489" s="8" t="str">
        <f ca="1">IFERROR(__xludf.DUMMYFUNCTION("""COMPUTED_VALUE"""),"-")</f>
        <v>-</v>
      </c>
      <c r="G489" s="8" t="str">
        <f ca="1">IFERROR(__xludf.DUMMYFUNCTION("""COMPUTED_VALUE"""),"-")</f>
        <v>-</v>
      </c>
      <c r="H489" s="8" t="str">
        <f ca="1">IFERROR(__xludf.DUMMYFUNCTION("""COMPUTED_VALUE"""),"-")</f>
        <v>-</v>
      </c>
      <c r="I489" s="8" t="str">
        <f ca="1">IFERROR(__xludf.DUMMYFUNCTION("""COMPUTED_VALUE"""),"-")</f>
        <v>-</v>
      </c>
      <c r="J489" s="8" t="str">
        <f ca="1">IFERROR(__xludf.DUMMYFUNCTION("""COMPUTED_VALUE"""),"-")</f>
        <v>-</v>
      </c>
      <c r="K489" s="8" t="str">
        <f ca="1">IFERROR(__xludf.DUMMYFUNCTION("""COMPUTED_VALUE"""),"-")</f>
        <v>-</v>
      </c>
      <c r="L489" s="8" t="str">
        <f ca="1">IFERROR(__xludf.DUMMYFUNCTION("""COMPUTED_VALUE"""),"-")</f>
        <v>-</v>
      </c>
      <c r="M489" s="8" t="str">
        <f ca="1">IFERROR(__xludf.DUMMYFUNCTION("""COMPUTED_VALUE"""),"-")</f>
        <v>-</v>
      </c>
      <c r="N489" s="8" t="str">
        <f ca="1">IFERROR(__xludf.DUMMYFUNCTION("""COMPUTED_VALUE"""),"-")</f>
        <v>-</v>
      </c>
      <c r="O489" s="8" t="str">
        <f ca="1">IFERROR(__xludf.DUMMYFUNCTION("""COMPUTED_VALUE"""),"-")</f>
        <v>-</v>
      </c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5">
      <c r="A490" s="8" t="str">
        <f ca="1">IFERROR(__xludf.DUMMYFUNCTION("""COMPUTED_VALUE"""),"-")</f>
        <v>-</v>
      </c>
      <c r="B490" s="8" t="str">
        <f ca="1">IFERROR(__xludf.DUMMYFUNCTION("""COMPUTED_VALUE"""),"-")</f>
        <v>-</v>
      </c>
      <c r="C490" s="15" t="str">
        <f ca="1">IFERROR(__xludf.DUMMYFUNCTION("""COMPUTED_VALUE"""),"-")</f>
        <v>-</v>
      </c>
      <c r="D490" s="8" t="str">
        <f ca="1">IFERROR(__xludf.DUMMYFUNCTION("""COMPUTED_VALUE"""),"-")</f>
        <v>-</v>
      </c>
      <c r="E490" s="8" t="str">
        <f ca="1">IFERROR(__xludf.DUMMYFUNCTION("""COMPUTED_VALUE"""),"-")</f>
        <v>-</v>
      </c>
      <c r="F490" s="8" t="str">
        <f ca="1">IFERROR(__xludf.DUMMYFUNCTION("""COMPUTED_VALUE"""),"-")</f>
        <v>-</v>
      </c>
      <c r="G490" s="8" t="str">
        <f ca="1">IFERROR(__xludf.DUMMYFUNCTION("""COMPUTED_VALUE"""),"-")</f>
        <v>-</v>
      </c>
      <c r="H490" s="8" t="str">
        <f ca="1">IFERROR(__xludf.DUMMYFUNCTION("""COMPUTED_VALUE"""),"-")</f>
        <v>-</v>
      </c>
      <c r="I490" s="8" t="str">
        <f ca="1">IFERROR(__xludf.DUMMYFUNCTION("""COMPUTED_VALUE"""),"-")</f>
        <v>-</v>
      </c>
      <c r="J490" s="8" t="str">
        <f ca="1">IFERROR(__xludf.DUMMYFUNCTION("""COMPUTED_VALUE"""),"-")</f>
        <v>-</v>
      </c>
      <c r="K490" s="8" t="str">
        <f ca="1">IFERROR(__xludf.DUMMYFUNCTION("""COMPUTED_VALUE"""),"-")</f>
        <v>-</v>
      </c>
      <c r="L490" s="8" t="str">
        <f ca="1">IFERROR(__xludf.DUMMYFUNCTION("""COMPUTED_VALUE"""),"-")</f>
        <v>-</v>
      </c>
      <c r="M490" s="8" t="str">
        <f ca="1">IFERROR(__xludf.DUMMYFUNCTION("""COMPUTED_VALUE"""),"-")</f>
        <v>-</v>
      </c>
      <c r="N490" s="8" t="str">
        <f ca="1">IFERROR(__xludf.DUMMYFUNCTION("""COMPUTED_VALUE"""),"-")</f>
        <v>-</v>
      </c>
      <c r="O490" s="8" t="str">
        <f ca="1">IFERROR(__xludf.DUMMYFUNCTION("""COMPUTED_VALUE"""),"-")</f>
        <v>-</v>
      </c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5">
      <c r="A491" s="8" t="str">
        <f ca="1">IFERROR(__xludf.DUMMYFUNCTION("""COMPUTED_VALUE"""),"-")</f>
        <v>-</v>
      </c>
      <c r="B491" s="8" t="str">
        <f ca="1">IFERROR(__xludf.DUMMYFUNCTION("""COMPUTED_VALUE"""),"-")</f>
        <v>-</v>
      </c>
      <c r="C491" s="15" t="str">
        <f ca="1">IFERROR(__xludf.DUMMYFUNCTION("""COMPUTED_VALUE"""),"-")</f>
        <v>-</v>
      </c>
      <c r="D491" s="8" t="str">
        <f ca="1">IFERROR(__xludf.DUMMYFUNCTION("""COMPUTED_VALUE"""),"-")</f>
        <v>-</v>
      </c>
      <c r="E491" s="8" t="str">
        <f ca="1">IFERROR(__xludf.DUMMYFUNCTION("""COMPUTED_VALUE"""),"-")</f>
        <v>-</v>
      </c>
      <c r="F491" s="8" t="str">
        <f ca="1">IFERROR(__xludf.DUMMYFUNCTION("""COMPUTED_VALUE"""),"-")</f>
        <v>-</v>
      </c>
      <c r="G491" s="8" t="str">
        <f ca="1">IFERROR(__xludf.DUMMYFUNCTION("""COMPUTED_VALUE"""),"-")</f>
        <v>-</v>
      </c>
      <c r="H491" s="8" t="str">
        <f ca="1">IFERROR(__xludf.DUMMYFUNCTION("""COMPUTED_VALUE"""),"-")</f>
        <v>-</v>
      </c>
      <c r="I491" s="8" t="str">
        <f ca="1">IFERROR(__xludf.DUMMYFUNCTION("""COMPUTED_VALUE"""),"-")</f>
        <v>-</v>
      </c>
      <c r="J491" s="8" t="str">
        <f ca="1">IFERROR(__xludf.DUMMYFUNCTION("""COMPUTED_VALUE"""),"-")</f>
        <v>-</v>
      </c>
      <c r="K491" s="8" t="str">
        <f ca="1">IFERROR(__xludf.DUMMYFUNCTION("""COMPUTED_VALUE"""),"-")</f>
        <v>-</v>
      </c>
      <c r="L491" s="8" t="str">
        <f ca="1">IFERROR(__xludf.DUMMYFUNCTION("""COMPUTED_VALUE"""),"-")</f>
        <v>-</v>
      </c>
      <c r="M491" s="8" t="str">
        <f ca="1">IFERROR(__xludf.DUMMYFUNCTION("""COMPUTED_VALUE"""),"-")</f>
        <v>-</v>
      </c>
      <c r="N491" s="8" t="str">
        <f ca="1">IFERROR(__xludf.DUMMYFUNCTION("""COMPUTED_VALUE"""),"-")</f>
        <v>-</v>
      </c>
      <c r="O491" s="8" t="str">
        <f ca="1">IFERROR(__xludf.DUMMYFUNCTION("""COMPUTED_VALUE"""),"-")</f>
        <v>-</v>
      </c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5">
      <c r="A492" s="8" t="str">
        <f ca="1">IFERROR(__xludf.DUMMYFUNCTION("""COMPUTED_VALUE"""),"-")</f>
        <v>-</v>
      </c>
      <c r="B492" s="8" t="str">
        <f ca="1">IFERROR(__xludf.DUMMYFUNCTION("""COMPUTED_VALUE"""),"-")</f>
        <v>-</v>
      </c>
      <c r="C492" s="15" t="str">
        <f ca="1">IFERROR(__xludf.DUMMYFUNCTION("""COMPUTED_VALUE"""),"-")</f>
        <v>-</v>
      </c>
      <c r="D492" s="8" t="str">
        <f ca="1">IFERROR(__xludf.DUMMYFUNCTION("""COMPUTED_VALUE"""),"-")</f>
        <v>-</v>
      </c>
      <c r="E492" s="8" t="str">
        <f ca="1">IFERROR(__xludf.DUMMYFUNCTION("""COMPUTED_VALUE"""),"-")</f>
        <v>-</v>
      </c>
      <c r="F492" s="8" t="str">
        <f ca="1">IFERROR(__xludf.DUMMYFUNCTION("""COMPUTED_VALUE"""),"-")</f>
        <v>-</v>
      </c>
      <c r="G492" s="8" t="str">
        <f ca="1">IFERROR(__xludf.DUMMYFUNCTION("""COMPUTED_VALUE"""),"-")</f>
        <v>-</v>
      </c>
      <c r="H492" s="8" t="str">
        <f ca="1">IFERROR(__xludf.DUMMYFUNCTION("""COMPUTED_VALUE"""),"-")</f>
        <v>-</v>
      </c>
      <c r="I492" s="8" t="str">
        <f ca="1">IFERROR(__xludf.DUMMYFUNCTION("""COMPUTED_VALUE"""),"-")</f>
        <v>-</v>
      </c>
      <c r="J492" s="8" t="str">
        <f ca="1">IFERROR(__xludf.DUMMYFUNCTION("""COMPUTED_VALUE"""),"-")</f>
        <v>-</v>
      </c>
      <c r="K492" s="8" t="str">
        <f ca="1">IFERROR(__xludf.DUMMYFUNCTION("""COMPUTED_VALUE"""),"-")</f>
        <v>-</v>
      </c>
      <c r="L492" s="8" t="str">
        <f ca="1">IFERROR(__xludf.DUMMYFUNCTION("""COMPUTED_VALUE"""),"-")</f>
        <v>-</v>
      </c>
      <c r="M492" s="8" t="str">
        <f ca="1">IFERROR(__xludf.DUMMYFUNCTION("""COMPUTED_VALUE"""),"-")</f>
        <v>-</v>
      </c>
      <c r="N492" s="8" t="str">
        <f ca="1">IFERROR(__xludf.DUMMYFUNCTION("""COMPUTED_VALUE"""),"-")</f>
        <v>-</v>
      </c>
      <c r="O492" s="8" t="str">
        <f ca="1">IFERROR(__xludf.DUMMYFUNCTION("""COMPUTED_VALUE"""),"-")</f>
        <v>-</v>
      </c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5">
      <c r="A493" s="8" t="str">
        <f ca="1">IFERROR(__xludf.DUMMYFUNCTION("""COMPUTED_VALUE"""),"-")</f>
        <v>-</v>
      </c>
      <c r="B493" s="8" t="str">
        <f ca="1">IFERROR(__xludf.DUMMYFUNCTION("""COMPUTED_VALUE"""),"-")</f>
        <v>-</v>
      </c>
      <c r="C493" s="15" t="str">
        <f ca="1">IFERROR(__xludf.DUMMYFUNCTION("""COMPUTED_VALUE"""),"-")</f>
        <v>-</v>
      </c>
      <c r="D493" s="8" t="str">
        <f ca="1">IFERROR(__xludf.DUMMYFUNCTION("""COMPUTED_VALUE"""),"-")</f>
        <v>-</v>
      </c>
      <c r="E493" s="8" t="str">
        <f ca="1">IFERROR(__xludf.DUMMYFUNCTION("""COMPUTED_VALUE"""),"-")</f>
        <v>-</v>
      </c>
      <c r="F493" s="8" t="str">
        <f ca="1">IFERROR(__xludf.DUMMYFUNCTION("""COMPUTED_VALUE"""),"-")</f>
        <v>-</v>
      </c>
      <c r="G493" s="8" t="str">
        <f ca="1">IFERROR(__xludf.DUMMYFUNCTION("""COMPUTED_VALUE"""),"-")</f>
        <v>-</v>
      </c>
      <c r="H493" s="8" t="str">
        <f ca="1">IFERROR(__xludf.DUMMYFUNCTION("""COMPUTED_VALUE"""),"-")</f>
        <v>-</v>
      </c>
      <c r="I493" s="8" t="str">
        <f ca="1">IFERROR(__xludf.DUMMYFUNCTION("""COMPUTED_VALUE"""),"-")</f>
        <v>-</v>
      </c>
      <c r="J493" s="8" t="str">
        <f ca="1">IFERROR(__xludf.DUMMYFUNCTION("""COMPUTED_VALUE"""),"-")</f>
        <v>-</v>
      </c>
      <c r="K493" s="8" t="str">
        <f ca="1">IFERROR(__xludf.DUMMYFUNCTION("""COMPUTED_VALUE"""),"-")</f>
        <v>-</v>
      </c>
      <c r="L493" s="8" t="str">
        <f ca="1">IFERROR(__xludf.DUMMYFUNCTION("""COMPUTED_VALUE"""),"-")</f>
        <v>-</v>
      </c>
      <c r="M493" s="8" t="str">
        <f ca="1">IFERROR(__xludf.DUMMYFUNCTION("""COMPUTED_VALUE"""),"-")</f>
        <v>-</v>
      </c>
      <c r="N493" s="8" t="str">
        <f ca="1">IFERROR(__xludf.DUMMYFUNCTION("""COMPUTED_VALUE"""),"-")</f>
        <v>-</v>
      </c>
      <c r="O493" s="8" t="str">
        <f ca="1">IFERROR(__xludf.DUMMYFUNCTION("""COMPUTED_VALUE"""),"-")</f>
        <v>-</v>
      </c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5">
      <c r="A494" s="8" t="str">
        <f ca="1">IFERROR(__xludf.DUMMYFUNCTION("""COMPUTED_VALUE"""),"-")</f>
        <v>-</v>
      </c>
      <c r="B494" s="8" t="str">
        <f ca="1">IFERROR(__xludf.DUMMYFUNCTION("""COMPUTED_VALUE"""),"-")</f>
        <v>-</v>
      </c>
      <c r="C494" s="15" t="str">
        <f ca="1">IFERROR(__xludf.DUMMYFUNCTION("""COMPUTED_VALUE"""),"-")</f>
        <v>-</v>
      </c>
      <c r="D494" s="8" t="str">
        <f ca="1">IFERROR(__xludf.DUMMYFUNCTION("""COMPUTED_VALUE"""),"-")</f>
        <v>-</v>
      </c>
      <c r="E494" s="8" t="str">
        <f ca="1">IFERROR(__xludf.DUMMYFUNCTION("""COMPUTED_VALUE"""),"-")</f>
        <v>-</v>
      </c>
      <c r="F494" s="8" t="str">
        <f ca="1">IFERROR(__xludf.DUMMYFUNCTION("""COMPUTED_VALUE"""),"-")</f>
        <v>-</v>
      </c>
      <c r="G494" s="8" t="str">
        <f ca="1">IFERROR(__xludf.DUMMYFUNCTION("""COMPUTED_VALUE"""),"-")</f>
        <v>-</v>
      </c>
      <c r="H494" s="8" t="str">
        <f ca="1">IFERROR(__xludf.DUMMYFUNCTION("""COMPUTED_VALUE"""),"-")</f>
        <v>-</v>
      </c>
      <c r="I494" s="8" t="str">
        <f ca="1">IFERROR(__xludf.DUMMYFUNCTION("""COMPUTED_VALUE"""),"-")</f>
        <v>-</v>
      </c>
      <c r="J494" s="8" t="str">
        <f ca="1">IFERROR(__xludf.DUMMYFUNCTION("""COMPUTED_VALUE"""),"-")</f>
        <v>-</v>
      </c>
      <c r="K494" s="8" t="str">
        <f ca="1">IFERROR(__xludf.DUMMYFUNCTION("""COMPUTED_VALUE"""),"-")</f>
        <v>-</v>
      </c>
      <c r="L494" s="8" t="str">
        <f ca="1">IFERROR(__xludf.DUMMYFUNCTION("""COMPUTED_VALUE"""),"-")</f>
        <v>-</v>
      </c>
      <c r="M494" s="8" t="str">
        <f ca="1">IFERROR(__xludf.DUMMYFUNCTION("""COMPUTED_VALUE"""),"-")</f>
        <v>-</v>
      </c>
      <c r="N494" s="8" t="str">
        <f ca="1">IFERROR(__xludf.DUMMYFUNCTION("""COMPUTED_VALUE"""),"-")</f>
        <v>-</v>
      </c>
      <c r="O494" s="8" t="str">
        <f ca="1">IFERROR(__xludf.DUMMYFUNCTION("""COMPUTED_VALUE"""),"-")</f>
        <v>-</v>
      </c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5">
      <c r="A495" s="8" t="str">
        <f ca="1">IFERROR(__xludf.DUMMYFUNCTION("""COMPUTED_VALUE"""),"-")</f>
        <v>-</v>
      </c>
      <c r="B495" s="8" t="str">
        <f ca="1">IFERROR(__xludf.DUMMYFUNCTION("""COMPUTED_VALUE"""),"-")</f>
        <v>-</v>
      </c>
      <c r="C495" s="15" t="str">
        <f ca="1">IFERROR(__xludf.DUMMYFUNCTION("""COMPUTED_VALUE"""),"-")</f>
        <v>-</v>
      </c>
      <c r="D495" s="8" t="str">
        <f ca="1">IFERROR(__xludf.DUMMYFUNCTION("""COMPUTED_VALUE"""),"-")</f>
        <v>-</v>
      </c>
      <c r="E495" s="8" t="str">
        <f ca="1">IFERROR(__xludf.DUMMYFUNCTION("""COMPUTED_VALUE"""),"-")</f>
        <v>-</v>
      </c>
      <c r="F495" s="8" t="str">
        <f ca="1">IFERROR(__xludf.DUMMYFUNCTION("""COMPUTED_VALUE"""),"-")</f>
        <v>-</v>
      </c>
      <c r="G495" s="8" t="str">
        <f ca="1">IFERROR(__xludf.DUMMYFUNCTION("""COMPUTED_VALUE"""),"-")</f>
        <v>-</v>
      </c>
      <c r="H495" s="8" t="str">
        <f ca="1">IFERROR(__xludf.DUMMYFUNCTION("""COMPUTED_VALUE"""),"-")</f>
        <v>-</v>
      </c>
      <c r="I495" s="8" t="str">
        <f ca="1">IFERROR(__xludf.DUMMYFUNCTION("""COMPUTED_VALUE"""),"-")</f>
        <v>-</v>
      </c>
      <c r="J495" s="8" t="str">
        <f ca="1">IFERROR(__xludf.DUMMYFUNCTION("""COMPUTED_VALUE"""),"-")</f>
        <v>-</v>
      </c>
      <c r="K495" s="8" t="str">
        <f ca="1">IFERROR(__xludf.DUMMYFUNCTION("""COMPUTED_VALUE"""),"-")</f>
        <v>-</v>
      </c>
      <c r="L495" s="8" t="str">
        <f ca="1">IFERROR(__xludf.DUMMYFUNCTION("""COMPUTED_VALUE"""),"-")</f>
        <v>-</v>
      </c>
      <c r="M495" s="8" t="str">
        <f ca="1">IFERROR(__xludf.DUMMYFUNCTION("""COMPUTED_VALUE"""),"-")</f>
        <v>-</v>
      </c>
      <c r="N495" s="8" t="str">
        <f ca="1">IFERROR(__xludf.DUMMYFUNCTION("""COMPUTED_VALUE"""),"-")</f>
        <v>-</v>
      </c>
      <c r="O495" s="8" t="str">
        <f ca="1">IFERROR(__xludf.DUMMYFUNCTION("""COMPUTED_VALUE"""),"-")</f>
        <v>-</v>
      </c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5">
      <c r="A496" s="8" t="str">
        <f ca="1">IFERROR(__xludf.DUMMYFUNCTION("""COMPUTED_VALUE"""),"-")</f>
        <v>-</v>
      </c>
      <c r="B496" s="8" t="str">
        <f ca="1">IFERROR(__xludf.DUMMYFUNCTION("""COMPUTED_VALUE"""),"-")</f>
        <v>-</v>
      </c>
      <c r="C496" s="15" t="str">
        <f ca="1">IFERROR(__xludf.DUMMYFUNCTION("""COMPUTED_VALUE"""),"-")</f>
        <v>-</v>
      </c>
      <c r="D496" s="8" t="str">
        <f ca="1">IFERROR(__xludf.DUMMYFUNCTION("""COMPUTED_VALUE"""),"-")</f>
        <v>-</v>
      </c>
      <c r="E496" s="8" t="str">
        <f ca="1">IFERROR(__xludf.DUMMYFUNCTION("""COMPUTED_VALUE"""),"-")</f>
        <v>-</v>
      </c>
      <c r="F496" s="8" t="str">
        <f ca="1">IFERROR(__xludf.DUMMYFUNCTION("""COMPUTED_VALUE"""),"-")</f>
        <v>-</v>
      </c>
      <c r="G496" s="8" t="str">
        <f ca="1">IFERROR(__xludf.DUMMYFUNCTION("""COMPUTED_VALUE"""),"-")</f>
        <v>-</v>
      </c>
      <c r="H496" s="8" t="str">
        <f ca="1">IFERROR(__xludf.DUMMYFUNCTION("""COMPUTED_VALUE"""),"-")</f>
        <v>-</v>
      </c>
      <c r="I496" s="8" t="str">
        <f ca="1">IFERROR(__xludf.DUMMYFUNCTION("""COMPUTED_VALUE"""),"-")</f>
        <v>-</v>
      </c>
      <c r="J496" s="8" t="str">
        <f ca="1">IFERROR(__xludf.DUMMYFUNCTION("""COMPUTED_VALUE"""),"-")</f>
        <v>-</v>
      </c>
      <c r="K496" s="8" t="str">
        <f ca="1">IFERROR(__xludf.DUMMYFUNCTION("""COMPUTED_VALUE"""),"-")</f>
        <v>-</v>
      </c>
      <c r="L496" s="8" t="str">
        <f ca="1">IFERROR(__xludf.DUMMYFUNCTION("""COMPUTED_VALUE"""),"-")</f>
        <v>-</v>
      </c>
      <c r="M496" s="8" t="str">
        <f ca="1">IFERROR(__xludf.DUMMYFUNCTION("""COMPUTED_VALUE"""),"-")</f>
        <v>-</v>
      </c>
      <c r="N496" s="8" t="str">
        <f ca="1">IFERROR(__xludf.DUMMYFUNCTION("""COMPUTED_VALUE"""),"-")</f>
        <v>-</v>
      </c>
      <c r="O496" s="8" t="str">
        <f ca="1">IFERROR(__xludf.DUMMYFUNCTION("""COMPUTED_VALUE"""),"-")</f>
        <v>-</v>
      </c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5">
      <c r="A497" s="8" t="str">
        <f ca="1">IFERROR(__xludf.DUMMYFUNCTION("""COMPUTED_VALUE"""),"-")</f>
        <v>-</v>
      </c>
      <c r="B497" s="8" t="str">
        <f ca="1">IFERROR(__xludf.DUMMYFUNCTION("""COMPUTED_VALUE"""),"-")</f>
        <v>-</v>
      </c>
      <c r="C497" s="15" t="str">
        <f ca="1">IFERROR(__xludf.DUMMYFUNCTION("""COMPUTED_VALUE"""),"-")</f>
        <v>-</v>
      </c>
      <c r="D497" s="8" t="str">
        <f ca="1">IFERROR(__xludf.DUMMYFUNCTION("""COMPUTED_VALUE"""),"-")</f>
        <v>-</v>
      </c>
      <c r="E497" s="8" t="str">
        <f ca="1">IFERROR(__xludf.DUMMYFUNCTION("""COMPUTED_VALUE"""),"-")</f>
        <v>-</v>
      </c>
      <c r="F497" s="8" t="str">
        <f ca="1">IFERROR(__xludf.DUMMYFUNCTION("""COMPUTED_VALUE"""),"-")</f>
        <v>-</v>
      </c>
      <c r="G497" s="8" t="str">
        <f ca="1">IFERROR(__xludf.DUMMYFUNCTION("""COMPUTED_VALUE"""),"-")</f>
        <v>-</v>
      </c>
      <c r="H497" s="8" t="str">
        <f ca="1">IFERROR(__xludf.DUMMYFUNCTION("""COMPUTED_VALUE"""),"-")</f>
        <v>-</v>
      </c>
      <c r="I497" s="8" t="str">
        <f ca="1">IFERROR(__xludf.DUMMYFUNCTION("""COMPUTED_VALUE"""),"-")</f>
        <v>-</v>
      </c>
      <c r="J497" s="8" t="str">
        <f ca="1">IFERROR(__xludf.DUMMYFUNCTION("""COMPUTED_VALUE"""),"-")</f>
        <v>-</v>
      </c>
      <c r="K497" s="8" t="str">
        <f ca="1">IFERROR(__xludf.DUMMYFUNCTION("""COMPUTED_VALUE"""),"-")</f>
        <v>-</v>
      </c>
      <c r="L497" s="8" t="str">
        <f ca="1">IFERROR(__xludf.DUMMYFUNCTION("""COMPUTED_VALUE"""),"-")</f>
        <v>-</v>
      </c>
      <c r="M497" s="8" t="str">
        <f ca="1">IFERROR(__xludf.DUMMYFUNCTION("""COMPUTED_VALUE"""),"-")</f>
        <v>-</v>
      </c>
      <c r="N497" s="8" t="str">
        <f ca="1">IFERROR(__xludf.DUMMYFUNCTION("""COMPUTED_VALUE"""),"-")</f>
        <v>-</v>
      </c>
      <c r="O497" s="8" t="str">
        <f ca="1">IFERROR(__xludf.DUMMYFUNCTION("""COMPUTED_VALUE"""),"-")</f>
        <v>-</v>
      </c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5">
      <c r="A498" s="8" t="str">
        <f ca="1">IFERROR(__xludf.DUMMYFUNCTION("""COMPUTED_VALUE"""),"-")</f>
        <v>-</v>
      </c>
      <c r="B498" s="8" t="str">
        <f ca="1">IFERROR(__xludf.DUMMYFUNCTION("""COMPUTED_VALUE"""),"-")</f>
        <v>-</v>
      </c>
      <c r="C498" s="15" t="str">
        <f ca="1">IFERROR(__xludf.DUMMYFUNCTION("""COMPUTED_VALUE"""),"-")</f>
        <v>-</v>
      </c>
      <c r="D498" s="8" t="str">
        <f ca="1">IFERROR(__xludf.DUMMYFUNCTION("""COMPUTED_VALUE"""),"-")</f>
        <v>-</v>
      </c>
      <c r="E498" s="8" t="str">
        <f ca="1">IFERROR(__xludf.DUMMYFUNCTION("""COMPUTED_VALUE"""),"-")</f>
        <v>-</v>
      </c>
      <c r="F498" s="8" t="str">
        <f ca="1">IFERROR(__xludf.DUMMYFUNCTION("""COMPUTED_VALUE"""),"-")</f>
        <v>-</v>
      </c>
      <c r="G498" s="8" t="str">
        <f ca="1">IFERROR(__xludf.DUMMYFUNCTION("""COMPUTED_VALUE"""),"-")</f>
        <v>-</v>
      </c>
      <c r="H498" s="8" t="str">
        <f ca="1">IFERROR(__xludf.DUMMYFUNCTION("""COMPUTED_VALUE"""),"-")</f>
        <v>-</v>
      </c>
      <c r="I498" s="8" t="str">
        <f ca="1">IFERROR(__xludf.DUMMYFUNCTION("""COMPUTED_VALUE"""),"-")</f>
        <v>-</v>
      </c>
      <c r="J498" s="8" t="str">
        <f ca="1">IFERROR(__xludf.DUMMYFUNCTION("""COMPUTED_VALUE"""),"-")</f>
        <v>-</v>
      </c>
      <c r="K498" s="8" t="str">
        <f ca="1">IFERROR(__xludf.DUMMYFUNCTION("""COMPUTED_VALUE"""),"-")</f>
        <v>-</v>
      </c>
      <c r="L498" s="8" t="str">
        <f ca="1">IFERROR(__xludf.DUMMYFUNCTION("""COMPUTED_VALUE"""),"-")</f>
        <v>-</v>
      </c>
      <c r="M498" s="8" t="str">
        <f ca="1">IFERROR(__xludf.DUMMYFUNCTION("""COMPUTED_VALUE"""),"-")</f>
        <v>-</v>
      </c>
      <c r="N498" s="8" t="str">
        <f ca="1">IFERROR(__xludf.DUMMYFUNCTION("""COMPUTED_VALUE"""),"-")</f>
        <v>-</v>
      </c>
      <c r="O498" s="8" t="str">
        <f ca="1">IFERROR(__xludf.DUMMYFUNCTION("""COMPUTED_VALUE"""),"-")</f>
        <v>-</v>
      </c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5">
      <c r="A499" s="8" t="str">
        <f ca="1">IFERROR(__xludf.DUMMYFUNCTION("""COMPUTED_VALUE"""),"-")</f>
        <v>-</v>
      </c>
      <c r="B499" s="8" t="str">
        <f ca="1">IFERROR(__xludf.DUMMYFUNCTION("""COMPUTED_VALUE"""),"-")</f>
        <v>-</v>
      </c>
      <c r="C499" s="15" t="str">
        <f ca="1">IFERROR(__xludf.DUMMYFUNCTION("""COMPUTED_VALUE"""),"-")</f>
        <v>-</v>
      </c>
      <c r="D499" s="8" t="str">
        <f ca="1">IFERROR(__xludf.DUMMYFUNCTION("""COMPUTED_VALUE"""),"-")</f>
        <v>-</v>
      </c>
      <c r="E499" s="8" t="str">
        <f ca="1">IFERROR(__xludf.DUMMYFUNCTION("""COMPUTED_VALUE"""),"-")</f>
        <v>-</v>
      </c>
      <c r="F499" s="8" t="str">
        <f ca="1">IFERROR(__xludf.DUMMYFUNCTION("""COMPUTED_VALUE"""),"-")</f>
        <v>-</v>
      </c>
      <c r="G499" s="8" t="str">
        <f ca="1">IFERROR(__xludf.DUMMYFUNCTION("""COMPUTED_VALUE"""),"-")</f>
        <v>-</v>
      </c>
      <c r="H499" s="8" t="str">
        <f ca="1">IFERROR(__xludf.DUMMYFUNCTION("""COMPUTED_VALUE"""),"-")</f>
        <v>-</v>
      </c>
      <c r="I499" s="8" t="str">
        <f ca="1">IFERROR(__xludf.DUMMYFUNCTION("""COMPUTED_VALUE"""),"-")</f>
        <v>-</v>
      </c>
      <c r="J499" s="8" t="str">
        <f ca="1">IFERROR(__xludf.DUMMYFUNCTION("""COMPUTED_VALUE"""),"-")</f>
        <v>-</v>
      </c>
      <c r="K499" s="8" t="str">
        <f ca="1">IFERROR(__xludf.DUMMYFUNCTION("""COMPUTED_VALUE"""),"-")</f>
        <v>-</v>
      </c>
      <c r="L499" s="8" t="str">
        <f ca="1">IFERROR(__xludf.DUMMYFUNCTION("""COMPUTED_VALUE"""),"-")</f>
        <v>-</v>
      </c>
      <c r="M499" s="8" t="str">
        <f ca="1">IFERROR(__xludf.DUMMYFUNCTION("""COMPUTED_VALUE"""),"-")</f>
        <v>-</v>
      </c>
      <c r="N499" s="8" t="str">
        <f ca="1">IFERROR(__xludf.DUMMYFUNCTION("""COMPUTED_VALUE"""),"-")</f>
        <v>-</v>
      </c>
      <c r="O499" s="8" t="str">
        <f ca="1">IFERROR(__xludf.DUMMYFUNCTION("""COMPUTED_VALUE"""),"-")</f>
        <v>-</v>
      </c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5">
      <c r="A500" s="8" t="str">
        <f ca="1">IFERROR(__xludf.DUMMYFUNCTION("""COMPUTED_VALUE"""),"-")</f>
        <v>-</v>
      </c>
      <c r="B500" s="8" t="str">
        <f ca="1">IFERROR(__xludf.DUMMYFUNCTION("""COMPUTED_VALUE"""),"-")</f>
        <v>-</v>
      </c>
      <c r="C500" s="15" t="str">
        <f ca="1">IFERROR(__xludf.DUMMYFUNCTION("""COMPUTED_VALUE"""),"-")</f>
        <v>-</v>
      </c>
      <c r="D500" s="8" t="str">
        <f ca="1">IFERROR(__xludf.DUMMYFUNCTION("""COMPUTED_VALUE"""),"-")</f>
        <v>-</v>
      </c>
      <c r="E500" s="8" t="str">
        <f ca="1">IFERROR(__xludf.DUMMYFUNCTION("""COMPUTED_VALUE"""),"-")</f>
        <v>-</v>
      </c>
      <c r="F500" s="8" t="str">
        <f ca="1">IFERROR(__xludf.DUMMYFUNCTION("""COMPUTED_VALUE"""),"-")</f>
        <v>-</v>
      </c>
      <c r="G500" s="8" t="str">
        <f ca="1">IFERROR(__xludf.DUMMYFUNCTION("""COMPUTED_VALUE"""),"-")</f>
        <v>-</v>
      </c>
      <c r="H500" s="8" t="str">
        <f ca="1">IFERROR(__xludf.DUMMYFUNCTION("""COMPUTED_VALUE"""),"-")</f>
        <v>-</v>
      </c>
      <c r="I500" s="8" t="str">
        <f ca="1">IFERROR(__xludf.DUMMYFUNCTION("""COMPUTED_VALUE"""),"-")</f>
        <v>-</v>
      </c>
      <c r="J500" s="8" t="str">
        <f ca="1">IFERROR(__xludf.DUMMYFUNCTION("""COMPUTED_VALUE"""),"-")</f>
        <v>-</v>
      </c>
      <c r="K500" s="8" t="str">
        <f ca="1">IFERROR(__xludf.DUMMYFUNCTION("""COMPUTED_VALUE"""),"-")</f>
        <v>-</v>
      </c>
      <c r="L500" s="8" t="str">
        <f ca="1">IFERROR(__xludf.DUMMYFUNCTION("""COMPUTED_VALUE"""),"-")</f>
        <v>-</v>
      </c>
      <c r="M500" s="8" t="str">
        <f ca="1">IFERROR(__xludf.DUMMYFUNCTION("""COMPUTED_VALUE"""),"-")</f>
        <v>-</v>
      </c>
      <c r="N500" s="8" t="str">
        <f ca="1">IFERROR(__xludf.DUMMYFUNCTION("""COMPUTED_VALUE"""),"-")</f>
        <v>-</v>
      </c>
      <c r="O500" s="8" t="str">
        <f ca="1">IFERROR(__xludf.DUMMYFUNCTION("""COMPUTED_VALUE"""),"-")</f>
        <v>-</v>
      </c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5">
      <c r="A501" s="8" t="str">
        <f ca="1">IFERROR(__xludf.DUMMYFUNCTION("""COMPUTED_VALUE"""),"-")</f>
        <v>-</v>
      </c>
      <c r="B501" s="8" t="str">
        <f ca="1">IFERROR(__xludf.DUMMYFUNCTION("""COMPUTED_VALUE"""),"-")</f>
        <v>-</v>
      </c>
      <c r="C501" s="15" t="str">
        <f ca="1">IFERROR(__xludf.DUMMYFUNCTION("""COMPUTED_VALUE"""),"-")</f>
        <v>-</v>
      </c>
      <c r="D501" s="8" t="str">
        <f ca="1">IFERROR(__xludf.DUMMYFUNCTION("""COMPUTED_VALUE"""),"-")</f>
        <v>-</v>
      </c>
      <c r="E501" s="8" t="str">
        <f ca="1">IFERROR(__xludf.DUMMYFUNCTION("""COMPUTED_VALUE"""),"-")</f>
        <v>-</v>
      </c>
      <c r="F501" s="8" t="str">
        <f ca="1">IFERROR(__xludf.DUMMYFUNCTION("""COMPUTED_VALUE"""),"-")</f>
        <v>-</v>
      </c>
      <c r="G501" s="8" t="str">
        <f ca="1">IFERROR(__xludf.DUMMYFUNCTION("""COMPUTED_VALUE"""),"-")</f>
        <v>-</v>
      </c>
      <c r="H501" s="8" t="str">
        <f ca="1">IFERROR(__xludf.DUMMYFUNCTION("""COMPUTED_VALUE"""),"-")</f>
        <v>-</v>
      </c>
      <c r="I501" s="8" t="str">
        <f ca="1">IFERROR(__xludf.DUMMYFUNCTION("""COMPUTED_VALUE"""),"-")</f>
        <v>-</v>
      </c>
      <c r="J501" s="8" t="str">
        <f ca="1">IFERROR(__xludf.DUMMYFUNCTION("""COMPUTED_VALUE"""),"-")</f>
        <v>-</v>
      </c>
      <c r="K501" s="8" t="str">
        <f ca="1">IFERROR(__xludf.DUMMYFUNCTION("""COMPUTED_VALUE"""),"-")</f>
        <v>-</v>
      </c>
      <c r="L501" s="8" t="str">
        <f ca="1">IFERROR(__xludf.DUMMYFUNCTION("""COMPUTED_VALUE"""),"-")</f>
        <v>-</v>
      </c>
      <c r="M501" s="8" t="str">
        <f ca="1">IFERROR(__xludf.DUMMYFUNCTION("""COMPUTED_VALUE"""),"-")</f>
        <v>-</v>
      </c>
      <c r="N501" s="8" t="str">
        <f ca="1">IFERROR(__xludf.DUMMYFUNCTION("""COMPUTED_VALUE"""),"-")</f>
        <v>-</v>
      </c>
      <c r="O501" s="8" t="str">
        <f ca="1">IFERROR(__xludf.DUMMYFUNCTION("""COMPUTED_VALUE"""),"-")</f>
        <v>-</v>
      </c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5">
      <c r="A502" s="8" t="str">
        <f ca="1">IFERROR(__xludf.DUMMYFUNCTION("""COMPUTED_VALUE"""),"-")</f>
        <v>-</v>
      </c>
      <c r="B502" s="8" t="str">
        <f ca="1">IFERROR(__xludf.DUMMYFUNCTION("""COMPUTED_VALUE"""),"-")</f>
        <v>-</v>
      </c>
      <c r="C502" s="15" t="str">
        <f ca="1">IFERROR(__xludf.DUMMYFUNCTION("""COMPUTED_VALUE"""),"-")</f>
        <v>-</v>
      </c>
      <c r="D502" s="8" t="str">
        <f ca="1">IFERROR(__xludf.DUMMYFUNCTION("""COMPUTED_VALUE"""),"-")</f>
        <v>-</v>
      </c>
      <c r="E502" s="8" t="str">
        <f ca="1">IFERROR(__xludf.DUMMYFUNCTION("""COMPUTED_VALUE"""),"-")</f>
        <v>-</v>
      </c>
      <c r="F502" s="8" t="str">
        <f ca="1">IFERROR(__xludf.DUMMYFUNCTION("""COMPUTED_VALUE"""),"-")</f>
        <v>-</v>
      </c>
      <c r="G502" s="8" t="str">
        <f ca="1">IFERROR(__xludf.DUMMYFUNCTION("""COMPUTED_VALUE"""),"-")</f>
        <v>-</v>
      </c>
      <c r="H502" s="8" t="str">
        <f ca="1">IFERROR(__xludf.DUMMYFUNCTION("""COMPUTED_VALUE"""),"-")</f>
        <v>-</v>
      </c>
      <c r="I502" s="8" t="str">
        <f ca="1">IFERROR(__xludf.DUMMYFUNCTION("""COMPUTED_VALUE"""),"-")</f>
        <v>-</v>
      </c>
      <c r="J502" s="8" t="str">
        <f ca="1">IFERROR(__xludf.DUMMYFUNCTION("""COMPUTED_VALUE"""),"-")</f>
        <v>-</v>
      </c>
      <c r="K502" s="8" t="str">
        <f ca="1">IFERROR(__xludf.DUMMYFUNCTION("""COMPUTED_VALUE"""),"-")</f>
        <v>-</v>
      </c>
      <c r="L502" s="8" t="str">
        <f ca="1">IFERROR(__xludf.DUMMYFUNCTION("""COMPUTED_VALUE"""),"-")</f>
        <v>-</v>
      </c>
      <c r="M502" s="8" t="str">
        <f ca="1">IFERROR(__xludf.DUMMYFUNCTION("""COMPUTED_VALUE"""),"-")</f>
        <v>-</v>
      </c>
      <c r="N502" s="8" t="str">
        <f ca="1">IFERROR(__xludf.DUMMYFUNCTION("""COMPUTED_VALUE"""),"-")</f>
        <v>-</v>
      </c>
      <c r="O502" s="8" t="str">
        <f ca="1">IFERROR(__xludf.DUMMYFUNCTION("""COMPUTED_VALUE"""),"-")</f>
        <v>-</v>
      </c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5">
      <c r="A503" s="8" t="str">
        <f ca="1">IFERROR(__xludf.DUMMYFUNCTION("""COMPUTED_VALUE"""),"-")</f>
        <v>-</v>
      </c>
      <c r="B503" s="8" t="str">
        <f ca="1">IFERROR(__xludf.DUMMYFUNCTION("""COMPUTED_VALUE"""),"-")</f>
        <v>-</v>
      </c>
      <c r="C503" s="15" t="str">
        <f ca="1">IFERROR(__xludf.DUMMYFUNCTION("""COMPUTED_VALUE"""),"-")</f>
        <v>-</v>
      </c>
      <c r="D503" s="8" t="str">
        <f ca="1">IFERROR(__xludf.DUMMYFUNCTION("""COMPUTED_VALUE"""),"-")</f>
        <v>-</v>
      </c>
      <c r="E503" s="8" t="str">
        <f ca="1">IFERROR(__xludf.DUMMYFUNCTION("""COMPUTED_VALUE"""),"-")</f>
        <v>-</v>
      </c>
      <c r="F503" s="8" t="str">
        <f ca="1">IFERROR(__xludf.DUMMYFUNCTION("""COMPUTED_VALUE"""),"-")</f>
        <v>-</v>
      </c>
      <c r="G503" s="8" t="str">
        <f ca="1">IFERROR(__xludf.DUMMYFUNCTION("""COMPUTED_VALUE"""),"-")</f>
        <v>-</v>
      </c>
      <c r="H503" s="8" t="str">
        <f ca="1">IFERROR(__xludf.DUMMYFUNCTION("""COMPUTED_VALUE"""),"-")</f>
        <v>-</v>
      </c>
      <c r="I503" s="8" t="str">
        <f ca="1">IFERROR(__xludf.DUMMYFUNCTION("""COMPUTED_VALUE"""),"-")</f>
        <v>-</v>
      </c>
      <c r="J503" s="8" t="str">
        <f ca="1">IFERROR(__xludf.DUMMYFUNCTION("""COMPUTED_VALUE"""),"-")</f>
        <v>-</v>
      </c>
      <c r="K503" s="8" t="str">
        <f ca="1">IFERROR(__xludf.DUMMYFUNCTION("""COMPUTED_VALUE"""),"-")</f>
        <v>-</v>
      </c>
      <c r="L503" s="8" t="str">
        <f ca="1">IFERROR(__xludf.DUMMYFUNCTION("""COMPUTED_VALUE"""),"-")</f>
        <v>-</v>
      </c>
      <c r="M503" s="8" t="str">
        <f ca="1">IFERROR(__xludf.DUMMYFUNCTION("""COMPUTED_VALUE"""),"-")</f>
        <v>-</v>
      </c>
      <c r="N503" s="8" t="str">
        <f ca="1">IFERROR(__xludf.DUMMYFUNCTION("""COMPUTED_VALUE"""),"-")</f>
        <v>-</v>
      </c>
      <c r="O503" s="8" t="str">
        <f ca="1">IFERROR(__xludf.DUMMYFUNCTION("""COMPUTED_VALUE"""),"-")</f>
        <v>-</v>
      </c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5">
      <c r="A504" s="8" t="str">
        <f ca="1">IFERROR(__xludf.DUMMYFUNCTION("""COMPUTED_VALUE"""),"-")</f>
        <v>-</v>
      </c>
      <c r="B504" s="8" t="str">
        <f ca="1">IFERROR(__xludf.DUMMYFUNCTION("""COMPUTED_VALUE"""),"-")</f>
        <v>-</v>
      </c>
      <c r="C504" s="15" t="str">
        <f ca="1">IFERROR(__xludf.DUMMYFUNCTION("""COMPUTED_VALUE"""),"-")</f>
        <v>-</v>
      </c>
      <c r="D504" s="8" t="str">
        <f ca="1">IFERROR(__xludf.DUMMYFUNCTION("""COMPUTED_VALUE"""),"-")</f>
        <v>-</v>
      </c>
      <c r="E504" s="8" t="str">
        <f ca="1">IFERROR(__xludf.DUMMYFUNCTION("""COMPUTED_VALUE"""),"-")</f>
        <v>-</v>
      </c>
      <c r="F504" s="8" t="str">
        <f ca="1">IFERROR(__xludf.DUMMYFUNCTION("""COMPUTED_VALUE"""),"-")</f>
        <v>-</v>
      </c>
      <c r="G504" s="8" t="str">
        <f ca="1">IFERROR(__xludf.DUMMYFUNCTION("""COMPUTED_VALUE"""),"-")</f>
        <v>-</v>
      </c>
      <c r="H504" s="8" t="str">
        <f ca="1">IFERROR(__xludf.DUMMYFUNCTION("""COMPUTED_VALUE"""),"-")</f>
        <v>-</v>
      </c>
      <c r="I504" s="8" t="str">
        <f ca="1">IFERROR(__xludf.DUMMYFUNCTION("""COMPUTED_VALUE"""),"-")</f>
        <v>-</v>
      </c>
      <c r="J504" s="8" t="str">
        <f ca="1">IFERROR(__xludf.DUMMYFUNCTION("""COMPUTED_VALUE"""),"-")</f>
        <v>-</v>
      </c>
      <c r="K504" s="8" t="str">
        <f ca="1">IFERROR(__xludf.DUMMYFUNCTION("""COMPUTED_VALUE"""),"-")</f>
        <v>-</v>
      </c>
      <c r="L504" s="8" t="str">
        <f ca="1">IFERROR(__xludf.DUMMYFUNCTION("""COMPUTED_VALUE"""),"-")</f>
        <v>-</v>
      </c>
      <c r="M504" s="8" t="str">
        <f ca="1">IFERROR(__xludf.DUMMYFUNCTION("""COMPUTED_VALUE"""),"-")</f>
        <v>-</v>
      </c>
      <c r="N504" s="8" t="str">
        <f ca="1">IFERROR(__xludf.DUMMYFUNCTION("""COMPUTED_VALUE"""),"-")</f>
        <v>-</v>
      </c>
      <c r="O504" s="8" t="str">
        <f ca="1">IFERROR(__xludf.DUMMYFUNCTION("""COMPUTED_VALUE"""),"-")</f>
        <v>-</v>
      </c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5">
      <c r="A505" s="8" t="str">
        <f ca="1">IFERROR(__xludf.DUMMYFUNCTION("""COMPUTED_VALUE"""),"-")</f>
        <v>-</v>
      </c>
      <c r="B505" s="8" t="str">
        <f ca="1">IFERROR(__xludf.DUMMYFUNCTION("""COMPUTED_VALUE"""),"-")</f>
        <v>-</v>
      </c>
      <c r="C505" s="15" t="str">
        <f ca="1">IFERROR(__xludf.DUMMYFUNCTION("""COMPUTED_VALUE"""),"-")</f>
        <v>-</v>
      </c>
      <c r="D505" s="8" t="str">
        <f ca="1">IFERROR(__xludf.DUMMYFUNCTION("""COMPUTED_VALUE"""),"-")</f>
        <v>-</v>
      </c>
      <c r="E505" s="8" t="str">
        <f ca="1">IFERROR(__xludf.DUMMYFUNCTION("""COMPUTED_VALUE"""),"-")</f>
        <v>-</v>
      </c>
      <c r="F505" s="8" t="str">
        <f ca="1">IFERROR(__xludf.DUMMYFUNCTION("""COMPUTED_VALUE"""),"-")</f>
        <v>-</v>
      </c>
      <c r="G505" s="8" t="str">
        <f ca="1">IFERROR(__xludf.DUMMYFUNCTION("""COMPUTED_VALUE"""),"-")</f>
        <v>-</v>
      </c>
      <c r="H505" s="8" t="str">
        <f ca="1">IFERROR(__xludf.DUMMYFUNCTION("""COMPUTED_VALUE"""),"-")</f>
        <v>-</v>
      </c>
      <c r="I505" s="8" t="str">
        <f ca="1">IFERROR(__xludf.DUMMYFUNCTION("""COMPUTED_VALUE"""),"-")</f>
        <v>-</v>
      </c>
      <c r="J505" s="8" t="str">
        <f ca="1">IFERROR(__xludf.DUMMYFUNCTION("""COMPUTED_VALUE"""),"-")</f>
        <v>-</v>
      </c>
      <c r="K505" s="8" t="str">
        <f ca="1">IFERROR(__xludf.DUMMYFUNCTION("""COMPUTED_VALUE"""),"-")</f>
        <v>-</v>
      </c>
      <c r="L505" s="8" t="str">
        <f ca="1">IFERROR(__xludf.DUMMYFUNCTION("""COMPUTED_VALUE"""),"-")</f>
        <v>-</v>
      </c>
      <c r="M505" s="8" t="str">
        <f ca="1">IFERROR(__xludf.DUMMYFUNCTION("""COMPUTED_VALUE"""),"-")</f>
        <v>-</v>
      </c>
      <c r="N505" s="8" t="str">
        <f ca="1">IFERROR(__xludf.DUMMYFUNCTION("""COMPUTED_VALUE"""),"-")</f>
        <v>-</v>
      </c>
      <c r="O505" s="8" t="str">
        <f ca="1">IFERROR(__xludf.DUMMYFUNCTION("""COMPUTED_VALUE"""),"-")</f>
        <v>-</v>
      </c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5">
      <c r="A506" s="8" t="str">
        <f ca="1">IFERROR(__xludf.DUMMYFUNCTION("""COMPUTED_VALUE"""),"-")</f>
        <v>-</v>
      </c>
      <c r="B506" s="8" t="str">
        <f ca="1">IFERROR(__xludf.DUMMYFUNCTION("""COMPUTED_VALUE"""),"-")</f>
        <v>-</v>
      </c>
      <c r="C506" s="15" t="str">
        <f ca="1">IFERROR(__xludf.DUMMYFUNCTION("""COMPUTED_VALUE"""),"-")</f>
        <v>-</v>
      </c>
      <c r="D506" s="8" t="str">
        <f ca="1">IFERROR(__xludf.DUMMYFUNCTION("""COMPUTED_VALUE"""),"-")</f>
        <v>-</v>
      </c>
      <c r="E506" s="8" t="str">
        <f ca="1">IFERROR(__xludf.DUMMYFUNCTION("""COMPUTED_VALUE"""),"-")</f>
        <v>-</v>
      </c>
      <c r="F506" s="8" t="str">
        <f ca="1">IFERROR(__xludf.DUMMYFUNCTION("""COMPUTED_VALUE"""),"-")</f>
        <v>-</v>
      </c>
      <c r="G506" s="8" t="str">
        <f ca="1">IFERROR(__xludf.DUMMYFUNCTION("""COMPUTED_VALUE"""),"-")</f>
        <v>-</v>
      </c>
      <c r="H506" s="8" t="str">
        <f ca="1">IFERROR(__xludf.DUMMYFUNCTION("""COMPUTED_VALUE"""),"-")</f>
        <v>-</v>
      </c>
      <c r="I506" s="8" t="str">
        <f ca="1">IFERROR(__xludf.DUMMYFUNCTION("""COMPUTED_VALUE"""),"-")</f>
        <v>-</v>
      </c>
      <c r="J506" s="8" t="str">
        <f ca="1">IFERROR(__xludf.DUMMYFUNCTION("""COMPUTED_VALUE"""),"-")</f>
        <v>-</v>
      </c>
      <c r="K506" s="8" t="str">
        <f ca="1">IFERROR(__xludf.DUMMYFUNCTION("""COMPUTED_VALUE"""),"-")</f>
        <v>-</v>
      </c>
      <c r="L506" s="8" t="str">
        <f ca="1">IFERROR(__xludf.DUMMYFUNCTION("""COMPUTED_VALUE"""),"-")</f>
        <v>-</v>
      </c>
      <c r="M506" s="8" t="str">
        <f ca="1">IFERROR(__xludf.DUMMYFUNCTION("""COMPUTED_VALUE"""),"-")</f>
        <v>-</v>
      </c>
      <c r="N506" s="8" t="str">
        <f ca="1">IFERROR(__xludf.DUMMYFUNCTION("""COMPUTED_VALUE"""),"-")</f>
        <v>-</v>
      </c>
      <c r="O506" s="8" t="str">
        <f ca="1">IFERROR(__xludf.DUMMYFUNCTION("""COMPUTED_VALUE"""),"-")</f>
        <v>-</v>
      </c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5">
      <c r="A507" s="8" t="str">
        <f ca="1">IFERROR(__xludf.DUMMYFUNCTION("""COMPUTED_VALUE"""),"-")</f>
        <v>-</v>
      </c>
      <c r="B507" s="8" t="str">
        <f ca="1">IFERROR(__xludf.DUMMYFUNCTION("""COMPUTED_VALUE"""),"-")</f>
        <v>-</v>
      </c>
      <c r="C507" s="15" t="str">
        <f ca="1">IFERROR(__xludf.DUMMYFUNCTION("""COMPUTED_VALUE"""),"-")</f>
        <v>-</v>
      </c>
      <c r="D507" s="8" t="str">
        <f ca="1">IFERROR(__xludf.DUMMYFUNCTION("""COMPUTED_VALUE"""),"-")</f>
        <v>-</v>
      </c>
      <c r="E507" s="8" t="str">
        <f ca="1">IFERROR(__xludf.DUMMYFUNCTION("""COMPUTED_VALUE"""),"-")</f>
        <v>-</v>
      </c>
      <c r="F507" s="8" t="str">
        <f ca="1">IFERROR(__xludf.DUMMYFUNCTION("""COMPUTED_VALUE"""),"-")</f>
        <v>-</v>
      </c>
      <c r="G507" s="8" t="str">
        <f ca="1">IFERROR(__xludf.DUMMYFUNCTION("""COMPUTED_VALUE"""),"-")</f>
        <v>-</v>
      </c>
      <c r="H507" s="8" t="str">
        <f ca="1">IFERROR(__xludf.DUMMYFUNCTION("""COMPUTED_VALUE"""),"-")</f>
        <v>-</v>
      </c>
      <c r="I507" s="8" t="str">
        <f ca="1">IFERROR(__xludf.DUMMYFUNCTION("""COMPUTED_VALUE"""),"-")</f>
        <v>-</v>
      </c>
      <c r="J507" s="8" t="str">
        <f ca="1">IFERROR(__xludf.DUMMYFUNCTION("""COMPUTED_VALUE"""),"-")</f>
        <v>-</v>
      </c>
      <c r="K507" s="8" t="str">
        <f ca="1">IFERROR(__xludf.DUMMYFUNCTION("""COMPUTED_VALUE"""),"-")</f>
        <v>-</v>
      </c>
      <c r="L507" s="8" t="str">
        <f ca="1">IFERROR(__xludf.DUMMYFUNCTION("""COMPUTED_VALUE"""),"-")</f>
        <v>-</v>
      </c>
      <c r="M507" s="8" t="str">
        <f ca="1">IFERROR(__xludf.DUMMYFUNCTION("""COMPUTED_VALUE"""),"-")</f>
        <v>-</v>
      </c>
      <c r="N507" s="8" t="str">
        <f ca="1">IFERROR(__xludf.DUMMYFUNCTION("""COMPUTED_VALUE"""),"-")</f>
        <v>-</v>
      </c>
      <c r="O507" s="8" t="str">
        <f ca="1">IFERROR(__xludf.DUMMYFUNCTION("""COMPUTED_VALUE"""),"-")</f>
        <v>-</v>
      </c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5">
      <c r="A508" s="8" t="str">
        <f ca="1">IFERROR(__xludf.DUMMYFUNCTION("""COMPUTED_VALUE"""),"-")</f>
        <v>-</v>
      </c>
      <c r="B508" s="8" t="str">
        <f ca="1">IFERROR(__xludf.DUMMYFUNCTION("""COMPUTED_VALUE"""),"-")</f>
        <v>-</v>
      </c>
      <c r="C508" s="15" t="str">
        <f ca="1">IFERROR(__xludf.DUMMYFUNCTION("""COMPUTED_VALUE"""),"-")</f>
        <v>-</v>
      </c>
      <c r="D508" s="8" t="str">
        <f ca="1">IFERROR(__xludf.DUMMYFUNCTION("""COMPUTED_VALUE"""),"-")</f>
        <v>-</v>
      </c>
      <c r="E508" s="8" t="str">
        <f ca="1">IFERROR(__xludf.DUMMYFUNCTION("""COMPUTED_VALUE"""),"-")</f>
        <v>-</v>
      </c>
      <c r="F508" s="8" t="str">
        <f ca="1">IFERROR(__xludf.DUMMYFUNCTION("""COMPUTED_VALUE"""),"-")</f>
        <v>-</v>
      </c>
      <c r="G508" s="8" t="str">
        <f ca="1">IFERROR(__xludf.DUMMYFUNCTION("""COMPUTED_VALUE"""),"-")</f>
        <v>-</v>
      </c>
      <c r="H508" s="8" t="str">
        <f ca="1">IFERROR(__xludf.DUMMYFUNCTION("""COMPUTED_VALUE"""),"-")</f>
        <v>-</v>
      </c>
      <c r="I508" s="8" t="str">
        <f ca="1">IFERROR(__xludf.DUMMYFUNCTION("""COMPUTED_VALUE"""),"-")</f>
        <v>-</v>
      </c>
      <c r="J508" s="8" t="str">
        <f ca="1">IFERROR(__xludf.DUMMYFUNCTION("""COMPUTED_VALUE"""),"-")</f>
        <v>-</v>
      </c>
      <c r="K508" s="8" t="str">
        <f ca="1">IFERROR(__xludf.DUMMYFUNCTION("""COMPUTED_VALUE"""),"-")</f>
        <v>-</v>
      </c>
      <c r="L508" s="8" t="str">
        <f ca="1">IFERROR(__xludf.DUMMYFUNCTION("""COMPUTED_VALUE"""),"-")</f>
        <v>-</v>
      </c>
      <c r="M508" s="8" t="str">
        <f ca="1">IFERROR(__xludf.DUMMYFUNCTION("""COMPUTED_VALUE"""),"-")</f>
        <v>-</v>
      </c>
      <c r="N508" s="8" t="str">
        <f ca="1">IFERROR(__xludf.DUMMYFUNCTION("""COMPUTED_VALUE"""),"-")</f>
        <v>-</v>
      </c>
      <c r="O508" s="8" t="str">
        <f ca="1">IFERROR(__xludf.DUMMYFUNCTION("""COMPUTED_VALUE"""),"-")</f>
        <v>-</v>
      </c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5">
      <c r="A509" s="8" t="str">
        <f ca="1">IFERROR(__xludf.DUMMYFUNCTION("""COMPUTED_VALUE"""),"-")</f>
        <v>-</v>
      </c>
      <c r="B509" s="8" t="str">
        <f ca="1">IFERROR(__xludf.DUMMYFUNCTION("""COMPUTED_VALUE"""),"-")</f>
        <v>-</v>
      </c>
      <c r="C509" s="15" t="str">
        <f ca="1">IFERROR(__xludf.DUMMYFUNCTION("""COMPUTED_VALUE"""),"-")</f>
        <v>-</v>
      </c>
      <c r="D509" s="8" t="str">
        <f ca="1">IFERROR(__xludf.DUMMYFUNCTION("""COMPUTED_VALUE"""),"-")</f>
        <v>-</v>
      </c>
      <c r="E509" s="8" t="str">
        <f ca="1">IFERROR(__xludf.DUMMYFUNCTION("""COMPUTED_VALUE"""),"-")</f>
        <v>-</v>
      </c>
      <c r="F509" s="8" t="str">
        <f ca="1">IFERROR(__xludf.DUMMYFUNCTION("""COMPUTED_VALUE"""),"-")</f>
        <v>-</v>
      </c>
      <c r="G509" s="8" t="str">
        <f ca="1">IFERROR(__xludf.DUMMYFUNCTION("""COMPUTED_VALUE"""),"-")</f>
        <v>-</v>
      </c>
      <c r="H509" s="8" t="str">
        <f ca="1">IFERROR(__xludf.DUMMYFUNCTION("""COMPUTED_VALUE"""),"-")</f>
        <v>-</v>
      </c>
      <c r="I509" s="8" t="str">
        <f ca="1">IFERROR(__xludf.DUMMYFUNCTION("""COMPUTED_VALUE"""),"-")</f>
        <v>-</v>
      </c>
      <c r="J509" s="8" t="str">
        <f ca="1">IFERROR(__xludf.DUMMYFUNCTION("""COMPUTED_VALUE"""),"-")</f>
        <v>-</v>
      </c>
      <c r="K509" s="8" t="str">
        <f ca="1">IFERROR(__xludf.DUMMYFUNCTION("""COMPUTED_VALUE"""),"-")</f>
        <v>-</v>
      </c>
      <c r="L509" s="8" t="str">
        <f ca="1">IFERROR(__xludf.DUMMYFUNCTION("""COMPUTED_VALUE"""),"-")</f>
        <v>-</v>
      </c>
      <c r="M509" s="8" t="str">
        <f ca="1">IFERROR(__xludf.DUMMYFUNCTION("""COMPUTED_VALUE"""),"-")</f>
        <v>-</v>
      </c>
      <c r="N509" s="8" t="str">
        <f ca="1">IFERROR(__xludf.DUMMYFUNCTION("""COMPUTED_VALUE"""),"-")</f>
        <v>-</v>
      </c>
      <c r="O509" s="8" t="str">
        <f ca="1">IFERROR(__xludf.DUMMYFUNCTION("""COMPUTED_VALUE"""),"-")</f>
        <v>-</v>
      </c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5">
      <c r="A510" s="8" t="str">
        <f ca="1">IFERROR(__xludf.DUMMYFUNCTION("""COMPUTED_VALUE"""),"-")</f>
        <v>-</v>
      </c>
      <c r="B510" s="8" t="str">
        <f ca="1">IFERROR(__xludf.DUMMYFUNCTION("""COMPUTED_VALUE"""),"-")</f>
        <v>-</v>
      </c>
      <c r="C510" s="15" t="str">
        <f ca="1">IFERROR(__xludf.DUMMYFUNCTION("""COMPUTED_VALUE"""),"-")</f>
        <v>-</v>
      </c>
      <c r="D510" s="8" t="str">
        <f ca="1">IFERROR(__xludf.DUMMYFUNCTION("""COMPUTED_VALUE"""),"-")</f>
        <v>-</v>
      </c>
      <c r="E510" s="8" t="str">
        <f ca="1">IFERROR(__xludf.DUMMYFUNCTION("""COMPUTED_VALUE"""),"-")</f>
        <v>-</v>
      </c>
      <c r="F510" s="8" t="str">
        <f ca="1">IFERROR(__xludf.DUMMYFUNCTION("""COMPUTED_VALUE"""),"-")</f>
        <v>-</v>
      </c>
      <c r="G510" s="8" t="str">
        <f ca="1">IFERROR(__xludf.DUMMYFUNCTION("""COMPUTED_VALUE"""),"-")</f>
        <v>-</v>
      </c>
      <c r="H510" s="8" t="str">
        <f ca="1">IFERROR(__xludf.DUMMYFUNCTION("""COMPUTED_VALUE"""),"-")</f>
        <v>-</v>
      </c>
      <c r="I510" s="8" t="str">
        <f ca="1">IFERROR(__xludf.DUMMYFUNCTION("""COMPUTED_VALUE"""),"-")</f>
        <v>-</v>
      </c>
      <c r="J510" s="8" t="str">
        <f ca="1">IFERROR(__xludf.DUMMYFUNCTION("""COMPUTED_VALUE"""),"-")</f>
        <v>-</v>
      </c>
      <c r="K510" s="8" t="str">
        <f ca="1">IFERROR(__xludf.DUMMYFUNCTION("""COMPUTED_VALUE"""),"-")</f>
        <v>-</v>
      </c>
      <c r="L510" s="8" t="str">
        <f ca="1">IFERROR(__xludf.DUMMYFUNCTION("""COMPUTED_VALUE"""),"-")</f>
        <v>-</v>
      </c>
      <c r="M510" s="8" t="str">
        <f ca="1">IFERROR(__xludf.DUMMYFUNCTION("""COMPUTED_VALUE"""),"-")</f>
        <v>-</v>
      </c>
      <c r="N510" s="8" t="str">
        <f ca="1">IFERROR(__xludf.DUMMYFUNCTION("""COMPUTED_VALUE"""),"-")</f>
        <v>-</v>
      </c>
      <c r="O510" s="8" t="str">
        <f ca="1">IFERROR(__xludf.DUMMYFUNCTION("""COMPUTED_VALUE"""),"-")</f>
        <v>-</v>
      </c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5">
      <c r="A511" s="8" t="str">
        <f ca="1">IFERROR(__xludf.DUMMYFUNCTION("""COMPUTED_VALUE"""),"-")</f>
        <v>-</v>
      </c>
      <c r="B511" s="8" t="str">
        <f ca="1">IFERROR(__xludf.DUMMYFUNCTION("""COMPUTED_VALUE"""),"-")</f>
        <v>-</v>
      </c>
      <c r="C511" s="15" t="str">
        <f ca="1">IFERROR(__xludf.DUMMYFUNCTION("""COMPUTED_VALUE"""),"-")</f>
        <v>-</v>
      </c>
      <c r="D511" s="8" t="str">
        <f ca="1">IFERROR(__xludf.DUMMYFUNCTION("""COMPUTED_VALUE"""),"-")</f>
        <v>-</v>
      </c>
      <c r="E511" s="8" t="str">
        <f ca="1">IFERROR(__xludf.DUMMYFUNCTION("""COMPUTED_VALUE"""),"-")</f>
        <v>-</v>
      </c>
      <c r="F511" s="8" t="str">
        <f ca="1">IFERROR(__xludf.DUMMYFUNCTION("""COMPUTED_VALUE"""),"-")</f>
        <v>-</v>
      </c>
      <c r="G511" s="8" t="str">
        <f ca="1">IFERROR(__xludf.DUMMYFUNCTION("""COMPUTED_VALUE"""),"-")</f>
        <v>-</v>
      </c>
      <c r="H511" s="8" t="str">
        <f ca="1">IFERROR(__xludf.DUMMYFUNCTION("""COMPUTED_VALUE"""),"-")</f>
        <v>-</v>
      </c>
      <c r="I511" s="8" t="str">
        <f ca="1">IFERROR(__xludf.DUMMYFUNCTION("""COMPUTED_VALUE"""),"-")</f>
        <v>-</v>
      </c>
      <c r="J511" s="8" t="str">
        <f ca="1">IFERROR(__xludf.DUMMYFUNCTION("""COMPUTED_VALUE"""),"-")</f>
        <v>-</v>
      </c>
      <c r="K511" s="8" t="str">
        <f ca="1">IFERROR(__xludf.DUMMYFUNCTION("""COMPUTED_VALUE"""),"-")</f>
        <v>-</v>
      </c>
      <c r="L511" s="8" t="str">
        <f ca="1">IFERROR(__xludf.DUMMYFUNCTION("""COMPUTED_VALUE"""),"-")</f>
        <v>-</v>
      </c>
      <c r="M511" s="8" t="str">
        <f ca="1">IFERROR(__xludf.DUMMYFUNCTION("""COMPUTED_VALUE"""),"-")</f>
        <v>-</v>
      </c>
      <c r="N511" s="8" t="str">
        <f ca="1">IFERROR(__xludf.DUMMYFUNCTION("""COMPUTED_VALUE"""),"-")</f>
        <v>-</v>
      </c>
      <c r="O511" s="8" t="str">
        <f ca="1">IFERROR(__xludf.DUMMYFUNCTION("""COMPUTED_VALUE"""),"-")</f>
        <v>-</v>
      </c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5">
      <c r="A512" s="8" t="str">
        <f ca="1">IFERROR(__xludf.DUMMYFUNCTION("""COMPUTED_VALUE"""),"-")</f>
        <v>-</v>
      </c>
      <c r="B512" s="8" t="str">
        <f ca="1">IFERROR(__xludf.DUMMYFUNCTION("""COMPUTED_VALUE"""),"-")</f>
        <v>-</v>
      </c>
      <c r="C512" s="15" t="str">
        <f ca="1">IFERROR(__xludf.DUMMYFUNCTION("""COMPUTED_VALUE"""),"-")</f>
        <v>-</v>
      </c>
      <c r="D512" s="8" t="str">
        <f ca="1">IFERROR(__xludf.DUMMYFUNCTION("""COMPUTED_VALUE"""),"-")</f>
        <v>-</v>
      </c>
      <c r="E512" s="8" t="str">
        <f ca="1">IFERROR(__xludf.DUMMYFUNCTION("""COMPUTED_VALUE"""),"-")</f>
        <v>-</v>
      </c>
      <c r="F512" s="8" t="str">
        <f ca="1">IFERROR(__xludf.DUMMYFUNCTION("""COMPUTED_VALUE"""),"-")</f>
        <v>-</v>
      </c>
      <c r="G512" s="8" t="str">
        <f ca="1">IFERROR(__xludf.DUMMYFUNCTION("""COMPUTED_VALUE"""),"-")</f>
        <v>-</v>
      </c>
      <c r="H512" s="8" t="str">
        <f ca="1">IFERROR(__xludf.DUMMYFUNCTION("""COMPUTED_VALUE"""),"-")</f>
        <v>-</v>
      </c>
      <c r="I512" s="8" t="str">
        <f ca="1">IFERROR(__xludf.DUMMYFUNCTION("""COMPUTED_VALUE"""),"-")</f>
        <v>-</v>
      </c>
      <c r="J512" s="8" t="str">
        <f ca="1">IFERROR(__xludf.DUMMYFUNCTION("""COMPUTED_VALUE"""),"-")</f>
        <v>-</v>
      </c>
      <c r="K512" s="8" t="str">
        <f ca="1">IFERROR(__xludf.DUMMYFUNCTION("""COMPUTED_VALUE"""),"-")</f>
        <v>-</v>
      </c>
      <c r="L512" s="8" t="str">
        <f ca="1">IFERROR(__xludf.DUMMYFUNCTION("""COMPUTED_VALUE"""),"-")</f>
        <v>-</v>
      </c>
      <c r="M512" s="8" t="str">
        <f ca="1">IFERROR(__xludf.DUMMYFUNCTION("""COMPUTED_VALUE"""),"-")</f>
        <v>-</v>
      </c>
      <c r="N512" s="8" t="str">
        <f ca="1">IFERROR(__xludf.DUMMYFUNCTION("""COMPUTED_VALUE"""),"-")</f>
        <v>-</v>
      </c>
      <c r="O512" s="8" t="str">
        <f ca="1">IFERROR(__xludf.DUMMYFUNCTION("""COMPUTED_VALUE"""),"-")</f>
        <v>-</v>
      </c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5">
      <c r="A513" s="8" t="str">
        <f ca="1">IFERROR(__xludf.DUMMYFUNCTION("""COMPUTED_VALUE"""),"-")</f>
        <v>-</v>
      </c>
      <c r="B513" s="8" t="str">
        <f ca="1">IFERROR(__xludf.DUMMYFUNCTION("""COMPUTED_VALUE"""),"-")</f>
        <v>-</v>
      </c>
      <c r="C513" s="15" t="str">
        <f ca="1">IFERROR(__xludf.DUMMYFUNCTION("""COMPUTED_VALUE"""),"-")</f>
        <v>-</v>
      </c>
      <c r="D513" s="8" t="str">
        <f ca="1">IFERROR(__xludf.DUMMYFUNCTION("""COMPUTED_VALUE"""),"-")</f>
        <v>-</v>
      </c>
      <c r="E513" s="8" t="str">
        <f ca="1">IFERROR(__xludf.DUMMYFUNCTION("""COMPUTED_VALUE"""),"-")</f>
        <v>-</v>
      </c>
      <c r="F513" s="8" t="str">
        <f ca="1">IFERROR(__xludf.DUMMYFUNCTION("""COMPUTED_VALUE"""),"-")</f>
        <v>-</v>
      </c>
      <c r="G513" s="8" t="str">
        <f ca="1">IFERROR(__xludf.DUMMYFUNCTION("""COMPUTED_VALUE"""),"-")</f>
        <v>-</v>
      </c>
      <c r="H513" s="8" t="str">
        <f ca="1">IFERROR(__xludf.DUMMYFUNCTION("""COMPUTED_VALUE"""),"-")</f>
        <v>-</v>
      </c>
      <c r="I513" s="8" t="str">
        <f ca="1">IFERROR(__xludf.DUMMYFUNCTION("""COMPUTED_VALUE"""),"-")</f>
        <v>-</v>
      </c>
      <c r="J513" s="8" t="str">
        <f ca="1">IFERROR(__xludf.DUMMYFUNCTION("""COMPUTED_VALUE"""),"-")</f>
        <v>-</v>
      </c>
      <c r="K513" s="8" t="str">
        <f ca="1">IFERROR(__xludf.DUMMYFUNCTION("""COMPUTED_VALUE"""),"-")</f>
        <v>-</v>
      </c>
      <c r="L513" s="8" t="str">
        <f ca="1">IFERROR(__xludf.DUMMYFUNCTION("""COMPUTED_VALUE"""),"-")</f>
        <v>-</v>
      </c>
      <c r="M513" s="8" t="str">
        <f ca="1">IFERROR(__xludf.DUMMYFUNCTION("""COMPUTED_VALUE"""),"-")</f>
        <v>-</v>
      </c>
      <c r="N513" s="8" t="str">
        <f ca="1">IFERROR(__xludf.DUMMYFUNCTION("""COMPUTED_VALUE"""),"-")</f>
        <v>-</v>
      </c>
      <c r="O513" s="8" t="str">
        <f ca="1">IFERROR(__xludf.DUMMYFUNCTION("""COMPUTED_VALUE"""),"-")</f>
        <v>-</v>
      </c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5">
      <c r="A514" s="8" t="str">
        <f ca="1">IFERROR(__xludf.DUMMYFUNCTION("""COMPUTED_VALUE"""),"-")</f>
        <v>-</v>
      </c>
      <c r="B514" s="8" t="str">
        <f ca="1">IFERROR(__xludf.DUMMYFUNCTION("""COMPUTED_VALUE"""),"-")</f>
        <v>-</v>
      </c>
      <c r="C514" s="15" t="str">
        <f ca="1">IFERROR(__xludf.DUMMYFUNCTION("""COMPUTED_VALUE"""),"-")</f>
        <v>-</v>
      </c>
      <c r="D514" s="8" t="str">
        <f ca="1">IFERROR(__xludf.DUMMYFUNCTION("""COMPUTED_VALUE"""),"-")</f>
        <v>-</v>
      </c>
      <c r="E514" s="8" t="str">
        <f ca="1">IFERROR(__xludf.DUMMYFUNCTION("""COMPUTED_VALUE"""),"-")</f>
        <v>-</v>
      </c>
      <c r="F514" s="8" t="str">
        <f ca="1">IFERROR(__xludf.DUMMYFUNCTION("""COMPUTED_VALUE"""),"-")</f>
        <v>-</v>
      </c>
      <c r="G514" s="8" t="str">
        <f ca="1">IFERROR(__xludf.DUMMYFUNCTION("""COMPUTED_VALUE"""),"-")</f>
        <v>-</v>
      </c>
      <c r="H514" s="8" t="str">
        <f ca="1">IFERROR(__xludf.DUMMYFUNCTION("""COMPUTED_VALUE"""),"-")</f>
        <v>-</v>
      </c>
      <c r="I514" s="8" t="str">
        <f ca="1">IFERROR(__xludf.DUMMYFUNCTION("""COMPUTED_VALUE"""),"-")</f>
        <v>-</v>
      </c>
      <c r="J514" s="8" t="str">
        <f ca="1">IFERROR(__xludf.DUMMYFUNCTION("""COMPUTED_VALUE"""),"-")</f>
        <v>-</v>
      </c>
      <c r="K514" s="8" t="str">
        <f ca="1">IFERROR(__xludf.DUMMYFUNCTION("""COMPUTED_VALUE"""),"-")</f>
        <v>-</v>
      </c>
      <c r="L514" s="8" t="str">
        <f ca="1">IFERROR(__xludf.DUMMYFUNCTION("""COMPUTED_VALUE"""),"-")</f>
        <v>-</v>
      </c>
      <c r="M514" s="8" t="str">
        <f ca="1">IFERROR(__xludf.DUMMYFUNCTION("""COMPUTED_VALUE"""),"-")</f>
        <v>-</v>
      </c>
      <c r="N514" s="8" t="str">
        <f ca="1">IFERROR(__xludf.DUMMYFUNCTION("""COMPUTED_VALUE"""),"-")</f>
        <v>-</v>
      </c>
      <c r="O514" s="8" t="str">
        <f ca="1">IFERROR(__xludf.DUMMYFUNCTION("""COMPUTED_VALUE"""),"-")</f>
        <v>-</v>
      </c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5">
      <c r="A515" s="8" t="str">
        <f ca="1">IFERROR(__xludf.DUMMYFUNCTION("""COMPUTED_VALUE"""),"-")</f>
        <v>-</v>
      </c>
      <c r="B515" s="8" t="str">
        <f ca="1">IFERROR(__xludf.DUMMYFUNCTION("""COMPUTED_VALUE"""),"-")</f>
        <v>-</v>
      </c>
      <c r="C515" s="15" t="str">
        <f ca="1">IFERROR(__xludf.DUMMYFUNCTION("""COMPUTED_VALUE"""),"-")</f>
        <v>-</v>
      </c>
      <c r="D515" s="8" t="str">
        <f ca="1">IFERROR(__xludf.DUMMYFUNCTION("""COMPUTED_VALUE"""),"-")</f>
        <v>-</v>
      </c>
      <c r="E515" s="8" t="str">
        <f ca="1">IFERROR(__xludf.DUMMYFUNCTION("""COMPUTED_VALUE"""),"-")</f>
        <v>-</v>
      </c>
      <c r="F515" s="8" t="str">
        <f ca="1">IFERROR(__xludf.DUMMYFUNCTION("""COMPUTED_VALUE"""),"-")</f>
        <v>-</v>
      </c>
      <c r="G515" s="8" t="str">
        <f ca="1">IFERROR(__xludf.DUMMYFUNCTION("""COMPUTED_VALUE"""),"-")</f>
        <v>-</v>
      </c>
      <c r="H515" s="8" t="str">
        <f ca="1">IFERROR(__xludf.DUMMYFUNCTION("""COMPUTED_VALUE"""),"-")</f>
        <v>-</v>
      </c>
      <c r="I515" s="8" t="str">
        <f ca="1">IFERROR(__xludf.DUMMYFUNCTION("""COMPUTED_VALUE"""),"-")</f>
        <v>-</v>
      </c>
      <c r="J515" s="8" t="str">
        <f ca="1">IFERROR(__xludf.DUMMYFUNCTION("""COMPUTED_VALUE"""),"-")</f>
        <v>-</v>
      </c>
      <c r="K515" s="8" t="str">
        <f ca="1">IFERROR(__xludf.DUMMYFUNCTION("""COMPUTED_VALUE"""),"-")</f>
        <v>-</v>
      </c>
      <c r="L515" s="8" t="str">
        <f ca="1">IFERROR(__xludf.DUMMYFUNCTION("""COMPUTED_VALUE"""),"-")</f>
        <v>-</v>
      </c>
      <c r="M515" s="8" t="str">
        <f ca="1">IFERROR(__xludf.DUMMYFUNCTION("""COMPUTED_VALUE"""),"-")</f>
        <v>-</v>
      </c>
      <c r="N515" s="8" t="str">
        <f ca="1">IFERROR(__xludf.DUMMYFUNCTION("""COMPUTED_VALUE"""),"-")</f>
        <v>-</v>
      </c>
      <c r="O515" s="8" t="str">
        <f ca="1">IFERROR(__xludf.DUMMYFUNCTION("""COMPUTED_VALUE"""),"-")</f>
        <v>-</v>
      </c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5">
      <c r="A516" s="8" t="str">
        <f ca="1">IFERROR(__xludf.DUMMYFUNCTION("""COMPUTED_VALUE"""),"-")</f>
        <v>-</v>
      </c>
      <c r="B516" s="8" t="str">
        <f ca="1">IFERROR(__xludf.DUMMYFUNCTION("""COMPUTED_VALUE"""),"-")</f>
        <v>-</v>
      </c>
      <c r="C516" s="15" t="str">
        <f ca="1">IFERROR(__xludf.DUMMYFUNCTION("""COMPUTED_VALUE"""),"-")</f>
        <v>-</v>
      </c>
      <c r="D516" s="8" t="str">
        <f ca="1">IFERROR(__xludf.DUMMYFUNCTION("""COMPUTED_VALUE"""),"-")</f>
        <v>-</v>
      </c>
      <c r="E516" s="8" t="str">
        <f ca="1">IFERROR(__xludf.DUMMYFUNCTION("""COMPUTED_VALUE"""),"-")</f>
        <v>-</v>
      </c>
      <c r="F516" s="8" t="str">
        <f ca="1">IFERROR(__xludf.DUMMYFUNCTION("""COMPUTED_VALUE"""),"-")</f>
        <v>-</v>
      </c>
      <c r="G516" s="8" t="str">
        <f ca="1">IFERROR(__xludf.DUMMYFUNCTION("""COMPUTED_VALUE"""),"-")</f>
        <v>-</v>
      </c>
      <c r="H516" s="8" t="str">
        <f ca="1">IFERROR(__xludf.DUMMYFUNCTION("""COMPUTED_VALUE"""),"-")</f>
        <v>-</v>
      </c>
      <c r="I516" s="8" t="str">
        <f ca="1">IFERROR(__xludf.DUMMYFUNCTION("""COMPUTED_VALUE"""),"-")</f>
        <v>-</v>
      </c>
      <c r="J516" s="8" t="str">
        <f ca="1">IFERROR(__xludf.DUMMYFUNCTION("""COMPUTED_VALUE"""),"-")</f>
        <v>-</v>
      </c>
      <c r="K516" s="8" t="str">
        <f ca="1">IFERROR(__xludf.DUMMYFUNCTION("""COMPUTED_VALUE"""),"-")</f>
        <v>-</v>
      </c>
      <c r="L516" s="8" t="str">
        <f ca="1">IFERROR(__xludf.DUMMYFUNCTION("""COMPUTED_VALUE"""),"-")</f>
        <v>-</v>
      </c>
      <c r="M516" s="8" t="str">
        <f ca="1">IFERROR(__xludf.DUMMYFUNCTION("""COMPUTED_VALUE"""),"-")</f>
        <v>-</v>
      </c>
      <c r="N516" s="8" t="str">
        <f ca="1">IFERROR(__xludf.DUMMYFUNCTION("""COMPUTED_VALUE"""),"-")</f>
        <v>-</v>
      </c>
      <c r="O516" s="8" t="str">
        <f ca="1">IFERROR(__xludf.DUMMYFUNCTION("""COMPUTED_VALUE"""),"-")</f>
        <v>-</v>
      </c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5">
      <c r="A517" s="8" t="str">
        <f ca="1">IFERROR(__xludf.DUMMYFUNCTION("""COMPUTED_VALUE"""),"-")</f>
        <v>-</v>
      </c>
      <c r="B517" s="8" t="str">
        <f ca="1">IFERROR(__xludf.DUMMYFUNCTION("""COMPUTED_VALUE"""),"-")</f>
        <v>-</v>
      </c>
      <c r="C517" s="15" t="str">
        <f ca="1">IFERROR(__xludf.DUMMYFUNCTION("""COMPUTED_VALUE"""),"-")</f>
        <v>-</v>
      </c>
      <c r="D517" s="8" t="str">
        <f ca="1">IFERROR(__xludf.DUMMYFUNCTION("""COMPUTED_VALUE"""),"-")</f>
        <v>-</v>
      </c>
      <c r="E517" s="8" t="str">
        <f ca="1">IFERROR(__xludf.DUMMYFUNCTION("""COMPUTED_VALUE"""),"-")</f>
        <v>-</v>
      </c>
      <c r="F517" s="8" t="str">
        <f ca="1">IFERROR(__xludf.DUMMYFUNCTION("""COMPUTED_VALUE"""),"-")</f>
        <v>-</v>
      </c>
      <c r="G517" s="8" t="str">
        <f ca="1">IFERROR(__xludf.DUMMYFUNCTION("""COMPUTED_VALUE"""),"-")</f>
        <v>-</v>
      </c>
      <c r="H517" s="8" t="str">
        <f ca="1">IFERROR(__xludf.DUMMYFUNCTION("""COMPUTED_VALUE"""),"-")</f>
        <v>-</v>
      </c>
      <c r="I517" s="8" t="str">
        <f ca="1">IFERROR(__xludf.DUMMYFUNCTION("""COMPUTED_VALUE"""),"-")</f>
        <v>-</v>
      </c>
      <c r="J517" s="8" t="str">
        <f ca="1">IFERROR(__xludf.DUMMYFUNCTION("""COMPUTED_VALUE"""),"-")</f>
        <v>-</v>
      </c>
      <c r="K517" s="8" t="str">
        <f ca="1">IFERROR(__xludf.DUMMYFUNCTION("""COMPUTED_VALUE"""),"-")</f>
        <v>-</v>
      </c>
      <c r="L517" s="8" t="str">
        <f ca="1">IFERROR(__xludf.DUMMYFUNCTION("""COMPUTED_VALUE"""),"-")</f>
        <v>-</v>
      </c>
      <c r="M517" s="8" t="str">
        <f ca="1">IFERROR(__xludf.DUMMYFUNCTION("""COMPUTED_VALUE"""),"-")</f>
        <v>-</v>
      </c>
      <c r="N517" s="8" t="str">
        <f ca="1">IFERROR(__xludf.DUMMYFUNCTION("""COMPUTED_VALUE"""),"-")</f>
        <v>-</v>
      </c>
      <c r="O517" s="8" t="str">
        <f ca="1">IFERROR(__xludf.DUMMYFUNCTION("""COMPUTED_VALUE"""),"-")</f>
        <v>-</v>
      </c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5">
      <c r="A518" s="8" t="str">
        <f ca="1">IFERROR(__xludf.DUMMYFUNCTION("""COMPUTED_VALUE"""),"-")</f>
        <v>-</v>
      </c>
      <c r="B518" s="8" t="str">
        <f ca="1">IFERROR(__xludf.DUMMYFUNCTION("""COMPUTED_VALUE"""),"-")</f>
        <v>-</v>
      </c>
      <c r="C518" s="15" t="str">
        <f ca="1">IFERROR(__xludf.DUMMYFUNCTION("""COMPUTED_VALUE"""),"-")</f>
        <v>-</v>
      </c>
      <c r="D518" s="8" t="str">
        <f ca="1">IFERROR(__xludf.DUMMYFUNCTION("""COMPUTED_VALUE"""),"-")</f>
        <v>-</v>
      </c>
      <c r="E518" s="8" t="str">
        <f ca="1">IFERROR(__xludf.DUMMYFUNCTION("""COMPUTED_VALUE"""),"-")</f>
        <v>-</v>
      </c>
      <c r="F518" s="8" t="str">
        <f ca="1">IFERROR(__xludf.DUMMYFUNCTION("""COMPUTED_VALUE"""),"-")</f>
        <v>-</v>
      </c>
      <c r="G518" s="8" t="str">
        <f ca="1">IFERROR(__xludf.DUMMYFUNCTION("""COMPUTED_VALUE"""),"-")</f>
        <v>-</v>
      </c>
      <c r="H518" s="8" t="str">
        <f ca="1">IFERROR(__xludf.DUMMYFUNCTION("""COMPUTED_VALUE"""),"-")</f>
        <v>-</v>
      </c>
      <c r="I518" s="8" t="str">
        <f ca="1">IFERROR(__xludf.DUMMYFUNCTION("""COMPUTED_VALUE"""),"-")</f>
        <v>-</v>
      </c>
      <c r="J518" s="8" t="str">
        <f ca="1">IFERROR(__xludf.DUMMYFUNCTION("""COMPUTED_VALUE"""),"-")</f>
        <v>-</v>
      </c>
      <c r="K518" s="8" t="str">
        <f ca="1">IFERROR(__xludf.DUMMYFUNCTION("""COMPUTED_VALUE"""),"-")</f>
        <v>-</v>
      </c>
      <c r="L518" s="8" t="str">
        <f ca="1">IFERROR(__xludf.DUMMYFUNCTION("""COMPUTED_VALUE"""),"-")</f>
        <v>-</v>
      </c>
      <c r="M518" s="8" t="str">
        <f ca="1">IFERROR(__xludf.DUMMYFUNCTION("""COMPUTED_VALUE"""),"-")</f>
        <v>-</v>
      </c>
      <c r="N518" s="8" t="str">
        <f ca="1">IFERROR(__xludf.DUMMYFUNCTION("""COMPUTED_VALUE"""),"-")</f>
        <v>-</v>
      </c>
      <c r="O518" s="8" t="str">
        <f ca="1">IFERROR(__xludf.DUMMYFUNCTION("""COMPUTED_VALUE"""),"-")</f>
        <v>-</v>
      </c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5">
      <c r="A519" s="8" t="str">
        <f ca="1">IFERROR(__xludf.DUMMYFUNCTION("""COMPUTED_VALUE"""),"-")</f>
        <v>-</v>
      </c>
      <c r="B519" s="8" t="str">
        <f ca="1">IFERROR(__xludf.DUMMYFUNCTION("""COMPUTED_VALUE"""),"-")</f>
        <v>-</v>
      </c>
      <c r="C519" s="15" t="str">
        <f ca="1">IFERROR(__xludf.DUMMYFUNCTION("""COMPUTED_VALUE"""),"-")</f>
        <v>-</v>
      </c>
      <c r="D519" s="8" t="str">
        <f ca="1">IFERROR(__xludf.DUMMYFUNCTION("""COMPUTED_VALUE"""),"-")</f>
        <v>-</v>
      </c>
      <c r="E519" s="8" t="str">
        <f ca="1">IFERROR(__xludf.DUMMYFUNCTION("""COMPUTED_VALUE"""),"-")</f>
        <v>-</v>
      </c>
      <c r="F519" s="8" t="str">
        <f ca="1">IFERROR(__xludf.DUMMYFUNCTION("""COMPUTED_VALUE"""),"-")</f>
        <v>-</v>
      </c>
      <c r="G519" s="8" t="str">
        <f ca="1">IFERROR(__xludf.DUMMYFUNCTION("""COMPUTED_VALUE"""),"-")</f>
        <v>-</v>
      </c>
      <c r="H519" s="8" t="str">
        <f ca="1">IFERROR(__xludf.DUMMYFUNCTION("""COMPUTED_VALUE"""),"-")</f>
        <v>-</v>
      </c>
      <c r="I519" s="8" t="str">
        <f ca="1">IFERROR(__xludf.DUMMYFUNCTION("""COMPUTED_VALUE"""),"-")</f>
        <v>-</v>
      </c>
      <c r="J519" s="8" t="str">
        <f ca="1">IFERROR(__xludf.DUMMYFUNCTION("""COMPUTED_VALUE"""),"-")</f>
        <v>-</v>
      </c>
      <c r="K519" s="8" t="str">
        <f ca="1">IFERROR(__xludf.DUMMYFUNCTION("""COMPUTED_VALUE"""),"-")</f>
        <v>-</v>
      </c>
      <c r="L519" s="8" t="str">
        <f ca="1">IFERROR(__xludf.DUMMYFUNCTION("""COMPUTED_VALUE"""),"-")</f>
        <v>-</v>
      </c>
      <c r="M519" s="8" t="str">
        <f ca="1">IFERROR(__xludf.DUMMYFUNCTION("""COMPUTED_VALUE"""),"-")</f>
        <v>-</v>
      </c>
      <c r="N519" s="8" t="str">
        <f ca="1">IFERROR(__xludf.DUMMYFUNCTION("""COMPUTED_VALUE"""),"-")</f>
        <v>-</v>
      </c>
      <c r="O519" s="8" t="str">
        <f ca="1">IFERROR(__xludf.DUMMYFUNCTION("""COMPUTED_VALUE"""),"-")</f>
        <v>-</v>
      </c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5">
      <c r="A520" s="8" t="str">
        <f ca="1">IFERROR(__xludf.DUMMYFUNCTION("""COMPUTED_VALUE"""),"-")</f>
        <v>-</v>
      </c>
      <c r="B520" s="8" t="str">
        <f ca="1">IFERROR(__xludf.DUMMYFUNCTION("""COMPUTED_VALUE"""),"-")</f>
        <v>-</v>
      </c>
      <c r="C520" s="15" t="str">
        <f ca="1">IFERROR(__xludf.DUMMYFUNCTION("""COMPUTED_VALUE"""),"-")</f>
        <v>-</v>
      </c>
      <c r="D520" s="8" t="str">
        <f ca="1">IFERROR(__xludf.DUMMYFUNCTION("""COMPUTED_VALUE"""),"-")</f>
        <v>-</v>
      </c>
      <c r="E520" s="8" t="str">
        <f ca="1">IFERROR(__xludf.DUMMYFUNCTION("""COMPUTED_VALUE"""),"-")</f>
        <v>-</v>
      </c>
      <c r="F520" s="8" t="str">
        <f ca="1">IFERROR(__xludf.DUMMYFUNCTION("""COMPUTED_VALUE"""),"-")</f>
        <v>-</v>
      </c>
      <c r="G520" s="8" t="str">
        <f ca="1">IFERROR(__xludf.DUMMYFUNCTION("""COMPUTED_VALUE"""),"-")</f>
        <v>-</v>
      </c>
      <c r="H520" s="8" t="str">
        <f ca="1">IFERROR(__xludf.DUMMYFUNCTION("""COMPUTED_VALUE"""),"-")</f>
        <v>-</v>
      </c>
      <c r="I520" s="8" t="str">
        <f ca="1">IFERROR(__xludf.DUMMYFUNCTION("""COMPUTED_VALUE"""),"-")</f>
        <v>-</v>
      </c>
      <c r="J520" s="8" t="str">
        <f ca="1">IFERROR(__xludf.DUMMYFUNCTION("""COMPUTED_VALUE"""),"-")</f>
        <v>-</v>
      </c>
      <c r="K520" s="8" t="str">
        <f ca="1">IFERROR(__xludf.DUMMYFUNCTION("""COMPUTED_VALUE"""),"-")</f>
        <v>-</v>
      </c>
      <c r="L520" s="8" t="str">
        <f ca="1">IFERROR(__xludf.DUMMYFUNCTION("""COMPUTED_VALUE"""),"-")</f>
        <v>-</v>
      </c>
      <c r="M520" s="8" t="str">
        <f ca="1">IFERROR(__xludf.DUMMYFUNCTION("""COMPUTED_VALUE"""),"-")</f>
        <v>-</v>
      </c>
      <c r="N520" s="8" t="str">
        <f ca="1">IFERROR(__xludf.DUMMYFUNCTION("""COMPUTED_VALUE"""),"-")</f>
        <v>-</v>
      </c>
      <c r="O520" s="8" t="str">
        <f ca="1">IFERROR(__xludf.DUMMYFUNCTION("""COMPUTED_VALUE"""),"-")</f>
        <v>-</v>
      </c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5"/>
    <row r="522" spans="1:26" ht="15.75" customHeight="1" x14ac:dyDescent="0.25"/>
    <row r="523" spans="1:26" ht="15.75" customHeight="1" x14ac:dyDescent="0.25"/>
    <row r="524" spans="1:26" ht="15.75" customHeight="1" x14ac:dyDescent="0.25"/>
    <row r="525" spans="1:26" ht="15.75" customHeight="1" x14ac:dyDescent="0.25"/>
    <row r="526" spans="1:26" ht="15.75" customHeight="1" x14ac:dyDescent="0.25"/>
    <row r="527" spans="1:26" ht="15.75" customHeight="1" x14ac:dyDescent="0.25"/>
    <row r="528" spans="1:26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N5:N475">
    <cfRule type="containsText" dxfId="0" priority="1" operator="containsText" text="Sold for">
      <formula>NOT(ISERROR(SEARCH(("Sold for"),(N5))))</formula>
    </cfRule>
  </conditionalFormatting>
  <hyperlinks>
    <hyperlink ref="N2" r:id="rId1" xr:uid="{00000000-0004-0000-0000-000000000000}"/>
    <hyperlink ref="O2" r:id="rId2" xr:uid="{00000000-0004-0000-0000-000001000000}"/>
    <hyperlink ref="N7" r:id="rId3" display="http://se.asia/" xr:uid="{00000000-0004-0000-0000-000002000000}"/>
    <hyperlink ref="N19" r:id="rId4" display="http://se.asia/" xr:uid="{00000000-0004-0000-0000-000003000000}"/>
    <hyperlink ref="N43" r:id="rId5" display="http://se.asia/" xr:uid="{00000000-0004-0000-0000-000004000000}"/>
    <hyperlink ref="N77" r:id="rId6" display="http://se.asia/" xr:uid="{00000000-0004-0000-0000-000005000000}"/>
    <hyperlink ref="N94" r:id="rId7" display="http://se.asia/" xr:uid="{00000000-0004-0000-0000-000006000000}"/>
    <hyperlink ref="N97" r:id="rId8" display="http://se.asia/" xr:uid="{00000000-0004-0000-0000-000007000000}"/>
    <hyperlink ref="N128" r:id="rId9" display="http://se.asia/" xr:uid="{00000000-0004-0000-0000-000008000000}"/>
    <hyperlink ref="N209" r:id="rId10" display="http://se.asia/" xr:uid="{00000000-0004-0000-0000-000009000000}"/>
    <hyperlink ref="N231" r:id="rId11" display="http://india-se.asia/" xr:uid="{00000000-0004-0000-0000-00000A000000}"/>
    <hyperlink ref="N234" r:id="rId12" display="http://se.asia/" xr:uid="{00000000-0004-0000-0000-00000B000000}"/>
    <hyperlink ref="N264" r:id="rId13" display="http://se.asia/" xr:uid="{00000000-0004-0000-0000-00000C000000}"/>
    <hyperlink ref="N267" r:id="rId14" display="http://se.asia/" xr:uid="{00000000-0004-0000-0000-00000D000000}"/>
    <hyperlink ref="N278" r:id="rId15" display="http://se.asia/" xr:uid="{00000000-0004-0000-0000-00000E000000}"/>
    <hyperlink ref="N310" r:id="rId16" display="http://se.asia/" xr:uid="{00000000-0004-0000-0000-00000F000000}"/>
    <hyperlink ref="N316" r:id="rId17" display="http://se.asia/" xr:uid="{00000000-0004-0000-0000-000010000000}"/>
    <hyperlink ref="N394" r:id="rId18" display="http://se.asia/" xr:uid="{00000000-0004-0000-0000-000011000000}"/>
  </hyperlinks>
  <pageMargins left="0.7" right="0.7" top="0.75" bottom="0.75" header="0" footer="0"/>
  <pageSetup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Tankers for Sale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Ronaldo Frank</cp:lastModifiedBy>
  <dcterms:created xsi:type="dcterms:W3CDTF">2025-04-26T19:30:17Z</dcterms:created>
  <dcterms:modified xsi:type="dcterms:W3CDTF">2025-09-29T12:39:06Z</dcterms:modified>
</cp:coreProperties>
</file>